
<file path=[Content_Types].xml><?xml version="1.0" encoding="utf-8"?>
<Types xmlns="http://schemas.openxmlformats.org/package/2006/content-types">
  <Default Extension="xml" ContentType="application/xml"/>
  <Default Extension="jpeg" ContentType="image/jpeg"/>
  <Default Extension="png" ContentType="image/png"/>
  <Default Extension="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4" Type="http://schemas.openxmlformats.org/officeDocument/2006/relationships/extended-properties" Target="docProps/app.xml"/><Relationship Id="rId1" Type="http://schemas.openxmlformats.org/officeDocument/2006/relationships/officeDocument" Target="xl/workbook.xml"/><Relationship Id="rId2" Type="http://schemas.openxmlformats.org/package/2006/relationships/metadata/thumbnail" Target="docProps/thumbnail.jpeg"/></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28410"/>
  <workbookPr/>
  <mc:AlternateContent xmlns:mc="http://schemas.openxmlformats.org/markup-compatibility/2006">
    <mc:Choice Requires="x15">
      <x15ac:absPath xmlns:x15ac="http://schemas.microsoft.com/office/spreadsheetml/2010/11/ac" url="/Users/mikkohonkanen/Desktop/"/>
    </mc:Choice>
  </mc:AlternateContent>
  <bookViews>
    <workbookView xWindow="320" yWindow="460" windowWidth="28800" windowHeight="16580" tabRatio="500"/>
  </bookViews>
  <sheets>
    <sheet name="FI SAAS 250" sheetId="3" r:id="rId1"/>
    <sheet name="SE SAAS 250" sheetId="2" r:id="rId2"/>
    <sheet name="NO SAAS 250" sheetId="4" r:id="rId3"/>
    <sheet name="DK SAAS 250" sheetId="1" r:id="rId4"/>
  </sheet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138" i="3" l="1"/>
  <c r="D138" i="3"/>
  <c r="G183" i="1"/>
  <c r="D183" i="1"/>
  <c r="G200" i="2"/>
  <c r="D200" i="2"/>
  <c r="G269" i="4"/>
  <c r="D269" i="4"/>
  <c r="G268" i="4"/>
  <c r="D268" i="4"/>
  <c r="G267" i="4"/>
  <c r="D267" i="4"/>
  <c r="G266" i="4"/>
  <c r="D266" i="4"/>
  <c r="G265" i="4"/>
  <c r="D265" i="4"/>
  <c r="G264" i="4"/>
  <c r="D264" i="4"/>
  <c r="G263" i="4"/>
  <c r="D263" i="4"/>
  <c r="G262" i="4"/>
  <c r="D262" i="4"/>
  <c r="G261" i="4"/>
  <c r="D261" i="4"/>
  <c r="G260" i="4"/>
  <c r="D260" i="4"/>
  <c r="G259" i="4"/>
  <c r="D259" i="4"/>
  <c r="G258" i="4"/>
  <c r="D258" i="4"/>
  <c r="G257" i="4"/>
  <c r="D257" i="4"/>
  <c r="G256" i="4"/>
  <c r="D256" i="4"/>
  <c r="G255" i="4"/>
  <c r="D255" i="4"/>
  <c r="G254" i="4"/>
  <c r="D254" i="4"/>
  <c r="G253" i="4"/>
  <c r="D253" i="4"/>
  <c r="G252" i="4"/>
  <c r="D252" i="4"/>
  <c r="G251" i="4"/>
  <c r="D251" i="4"/>
  <c r="G250" i="4"/>
  <c r="D250" i="4"/>
  <c r="G249" i="4"/>
  <c r="D249" i="4"/>
  <c r="G248" i="4"/>
  <c r="D248" i="4"/>
  <c r="G247" i="4"/>
  <c r="D247" i="4"/>
  <c r="G246" i="4"/>
  <c r="D246" i="4"/>
  <c r="G245" i="4"/>
  <c r="D245" i="4"/>
  <c r="G244" i="4"/>
  <c r="G243" i="4"/>
  <c r="D243" i="4"/>
  <c r="G242" i="4"/>
  <c r="D242" i="4"/>
  <c r="G241" i="4"/>
  <c r="D241" i="4"/>
  <c r="G240" i="4"/>
  <c r="D240" i="4"/>
  <c r="G239" i="4"/>
  <c r="D239" i="4"/>
  <c r="G238" i="4"/>
  <c r="D238" i="4"/>
  <c r="G237" i="4"/>
  <c r="D237" i="4"/>
  <c r="G236" i="4"/>
  <c r="D236" i="4"/>
  <c r="G235" i="4"/>
  <c r="D235" i="4"/>
  <c r="G234" i="4"/>
  <c r="D234" i="4"/>
  <c r="G233" i="4"/>
  <c r="D233" i="4"/>
  <c r="G232" i="4"/>
  <c r="D232" i="4"/>
  <c r="G231" i="4"/>
  <c r="D231" i="4"/>
  <c r="G230" i="4"/>
  <c r="D230" i="4"/>
  <c r="G229" i="4"/>
  <c r="D229" i="4"/>
  <c r="G228" i="4"/>
  <c r="D228" i="4"/>
  <c r="G227" i="4"/>
  <c r="D227" i="4"/>
  <c r="G226" i="4"/>
  <c r="D226" i="4"/>
  <c r="G225" i="4"/>
  <c r="D225" i="4"/>
  <c r="G224" i="4"/>
  <c r="D224" i="4"/>
  <c r="G223" i="4"/>
  <c r="D223" i="4"/>
  <c r="G222" i="4"/>
  <c r="D222" i="4"/>
  <c r="G221" i="4"/>
  <c r="D221" i="4"/>
  <c r="G220" i="4"/>
  <c r="D220" i="4"/>
  <c r="G219" i="4"/>
  <c r="D219" i="4"/>
  <c r="G218" i="4"/>
  <c r="D218" i="4"/>
  <c r="G217" i="4"/>
  <c r="D217" i="4"/>
  <c r="G216" i="4"/>
  <c r="D216" i="4"/>
  <c r="G215" i="4"/>
  <c r="D215" i="4"/>
  <c r="G214" i="4"/>
  <c r="D214" i="4"/>
  <c r="G213" i="4"/>
  <c r="D213" i="4"/>
  <c r="G212" i="4"/>
  <c r="D212" i="4"/>
  <c r="G211" i="4"/>
  <c r="D211" i="4"/>
  <c r="G210" i="4"/>
  <c r="D210" i="4"/>
  <c r="G209" i="4"/>
  <c r="D209" i="4"/>
  <c r="G208" i="4"/>
  <c r="D208" i="4"/>
  <c r="G207" i="4"/>
  <c r="D207" i="4"/>
  <c r="G206" i="4"/>
  <c r="D206" i="4"/>
  <c r="G205" i="4"/>
  <c r="D205" i="4"/>
  <c r="G204" i="4"/>
  <c r="D204" i="4"/>
  <c r="G203" i="4"/>
  <c r="D203" i="4"/>
  <c r="G202" i="4"/>
  <c r="D202" i="4"/>
  <c r="G201" i="4"/>
  <c r="D201" i="4"/>
  <c r="G200" i="4"/>
  <c r="D200" i="4"/>
  <c r="G199" i="4"/>
  <c r="D199" i="4"/>
  <c r="G198" i="4"/>
  <c r="D198" i="4"/>
  <c r="G197" i="4"/>
  <c r="D197" i="4"/>
  <c r="G196" i="4"/>
  <c r="D196" i="4"/>
  <c r="G195" i="4"/>
  <c r="D195" i="4"/>
  <c r="G194" i="4"/>
  <c r="D194" i="4"/>
  <c r="G193" i="4"/>
  <c r="D193" i="4"/>
  <c r="G192" i="4"/>
  <c r="D192" i="4"/>
  <c r="G191" i="4"/>
  <c r="D191" i="4"/>
  <c r="G190" i="4"/>
  <c r="D190" i="4"/>
  <c r="G189" i="4"/>
  <c r="D189" i="4"/>
  <c r="G188" i="4"/>
  <c r="D188" i="4"/>
  <c r="G187" i="4"/>
  <c r="D187" i="4"/>
  <c r="G186" i="4"/>
  <c r="D186" i="4"/>
  <c r="G185" i="4"/>
  <c r="D185" i="4"/>
  <c r="G184" i="4"/>
  <c r="D184" i="4"/>
  <c r="G183" i="4"/>
  <c r="D183" i="4"/>
  <c r="G182" i="4"/>
  <c r="D182" i="4"/>
  <c r="G181" i="4"/>
  <c r="D181" i="4"/>
  <c r="G180" i="4"/>
  <c r="D180" i="4"/>
  <c r="G179" i="4"/>
  <c r="D179" i="4"/>
  <c r="G178" i="4"/>
  <c r="D178" i="4"/>
  <c r="G177" i="4"/>
  <c r="D177" i="4"/>
  <c r="G176" i="4"/>
  <c r="D176" i="4"/>
  <c r="G175" i="4"/>
  <c r="D175" i="4"/>
  <c r="G174" i="4"/>
  <c r="D174" i="4"/>
  <c r="G173" i="4"/>
  <c r="G172" i="4"/>
  <c r="D172" i="4"/>
  <c r="G171" i="4"/>
  <c r="D171" i="4"/>
  <c r="G170" i="4"/>
  <c r="D170" i="4"/>
  <c r="G169" i="4"/>
  <c r="D169" i="4"/>
  <c r="G168" i="4"/>
  <c r="D168" i="4"/>
  <c r="G167" i="4"/>
  <c r="D167" i="4"/>
  <c r="G166" i="4"/>
  <c r="D166" i="4"/>
  <c r="G165" i="4"/>
  <c r="D165" i="4"/>
  <c r="G164" i="4"/>
  <c r="D164" i="4"/>
  <c r="G163" i="4"/>
  <c r="D163" i="4"/>
  <c r="G162" i="4"/>
  <c r="D162" i="4"/>
  <c r="G161" i="4"/>
  <c r="D161" i="4"/>
  <c r="G160" i="4"/>
  <c r="D160" i="4"/>
  <c r="G159" i="4"/>
  <c r="D159" i="4"/>
  <c r="G158" i="4"/>
  <c r="D158" i="4"/>
  <c r="G157" i="4"/>
  <c r="D157" i="4"/>
  <c r="G156" i="4"/>
  <c r="D156" i="4"/>
  <c r="G155" i="4"/>
  <c r="D155" i="4"/>
  <c r="G154" i="4"/>
  <c r="D154" i="4"/>
  <c r="G152" i="4"/>
  <c r="D152" i="4"/>
  <c r="G151" i="4"/>
  <c r="D151" i="4"/>
  <c r="G150" i="4"/>
  <c r="D150" i="4"/>
  <c r="G149" i="4"/>
  <c r="D149" i="4"/>
  <c r="G148" i="4"/>
  <c r="D148" i="4"/>
  <c r="G147" i="4"/>
  <c r="D147" i="4"/>
  <c r="G146" i="4"/>
  <c r="D146" i="4"/>
  <c r="G145" i="4"/>
  <c r="D145" i="4"/>
  <c r="G144" i="4"/>
  <c r="D144" i="4"/>
  <c r="G143" i="4"/>
  <c r="D143" i="4"/>
  <c r="G142" i="4"/>
  <c r="D142" i="4"/>
  <c r="G141" i="4"/>
  <c r="D141" i="4"/>
  <c r="G140" i="4"/>
  <c r="D140" i="4"/>
  <c r="G139" i="4"/>
  <c r="D139" i="4"/>
  <c r="G138" i="4"/>
  <c r="D138" i="4"/>
  <c r="G137" i="4"/>
  <c r="D137" i="4"/>
  <c r="G136" i="4"/>
  <c r="D136" i="4"/>
  <c r="G135" i="4"/>
  <c r="D135" i="4"/>
  <c r="G134" i="4"/>
  <c r="D134" i="4"/>
  <c r="G133" i="4"/>
  <c r="D133" i="4"/>
  <c r="G132" i="4"/>
  <c r="D132" i="4"/>
  <c r="G131" i="4"/>
  <c r="D131" i="4"/>
  <c r="G130" i="4"/>
  <c r="D130" i="4"/>
  <c r="G129" i="4"/>
  <c r="D129" i="4"/>
  <c r="G128" i="4"/>
  <c r="D128" i="4"/>
  <c r="G127" i="4"/>
  <c r="D127" i="4"/>
  <c r="G126" i="4"/>
  <c r="D126" i="4"/>
  <c r="G125" i="4"/>
  <c r="D125" i="4"/>
  <c r="G124" i="4"/>
  <c r="D124" i="4"/>
  <c r="G123" i="4"/>
  <c r="D123" i="4"/>
  <c r="G122" i="4"/>
  <c r="D122" i="4"/>
  <c r="G121" i="4"/>
  <c r="D121" i="4"/>
  <c r="G120" i="4"/>
  <c r="D120" i="4"/>
  <c r="G119" i="4"/>
  <c r="D119" i="4"/>
  <c r="G118" i="4"/>
  <c r="D118" i="4"/>
  <c r="G117" i="4"/>
  <c r="D117" i="4"/>
  <c r="G116" i="4"/>
  <c r="D116" i="4"/>
  <c r="G115" i="4"/>
  <c r="D115" i="4"/>
  <c r="G114" i="4"/>
  <c r="D114" i="4"/>
  <c r="G113" i="4"/>
  <c r="G112" i="4"/>
  <c r="D112" i="4"/>
  <c r="G111" i="4"/>
  <c r="D111" i="4"/>
  <c r="G110" i="4"/>
  <c r="D110" i="4"/>
  <c r="G109" i="4"/>
  <c r="D109" i="4"/>
  <c r="G108" i="4"/>
  <c r="D108" i="4"/>
  <c r="G107" i="4"/>
  <c r="D107" i="4"/>
  <c r="G106" i="4"/>
  <c r="D106" i="4"/>
  <c r="G105" i="4"/>
  <c r="D105" i="4"/>
  <c r="G104" i="4"/>
  <c r="D104" i="4"/>
  <c r="G103" i="4"/>
  <c r="D103" i="4"/>
  <c r="G102" i="4"/>
  <c r="D102" i="4"/>
  <c r="G101" i="4"/>
  <c r="D101" i="4"/>
  <c r="G100" i="4"/>
  <c r="D100" i="4"/>
  <c r="G99" i="4"/>
  <c r="D99" i="4"/>
  <c r="G98" i="4"/>
  <c r="D98" i="4"/>
  <c r="G97" i="4"/>
  <c r="D97" i="4"/>
  <c r="G96" i="4"/>
  <c r="D96" i="4"/>
  <c r="G95" i="4"/>
  <c r="D95" i="4"/>
  <c r="G94" i="4"/>
  <c r="D94" i="4"/>
  <c r="G93" i="4"/>
  <c r="G92" i="4"/>
  <c r="D92" i="4"/>
  <c r="G91" i="4"/>
  <c r="D91" i="4"/>
  <c r="G90" i="4"/>
  <c r="D90" i="4"/>
  <c r="G89" i="4"/>
  <c r="D89" i="4"/>
  <c r="G88" i="4"/>
  <c r="D88" i="4"/>
  <c r="G87" i="4"/>
  <c r="D87" i="4"/>
  <c r="G86" i="4"/>
  <c r="D86" i="4"/>
  <c r="G85" i="4"/>
  <c r="D85" i="4"/>
  <c r="G84" i="4"/>
  <c r="D84" i="4"/>
  <c r="G83" i="4"/>
  <c r="D83" i="4"/>
  <c r="G82" i="4"/>
  <c r="G81" i="4"/>
  <c r="D81" i="4"/>
  <c r="G80" i="4"/>
  <c r="D80" i="4"/>
  <c r="G79" i="4"/>
  <c r="D79" i="4"/>
  <c r="G78" i="4"/>
  <c r="D78" i="4"/>
  <c r="G77" i="4"/>
  <c r="D77" i="4"/>
  <c r="G76" i="4"/>
  <c r="D76" i="4"/>
  <c r="G75" i="4"/>
  <c r="D75" i="4"/>
  <c r="G74" i="4"/>
  <c r="D74" i="4"/>
  <c r="G73" i="4"/>
  <c r="D73" i="4"/>
  <c r="G72" i="4"/>
  <c r="D72" i="4"/>
  <c r="G71" i="4"/>
  <c r="D71" i="4"/>
  <c r="G70" i="4"/>
  <c r="D70" i="4"/>
  <c r="G69" i="4"/>
  <c r="D69" i="4"/>
  <c r="G68" i="4"/>
  <c r="D68" i="4"/>
  <c r="G67" i="4"/>
  <c r="D67" i="4"/>
  <c r="G66" i="4"/>
  <c r="D66" i="4"/>
  <c r="G65" i="4"/>
  <c r="D65" i="4"/>
  <c r="G64" i="4"/>
  <c r="D64" i="4"/>
  <c r="G63" i="4"/>
  <c r="D63" i="4"/>
  <c r="G62" i="4"/>
  <c r="D62" i="4"/>
  <c r="G61" i="4"/>
  <c r="D61" i="4"/>
  <c r="G60" i="4"/>
  <c r="D60" i="4"/>
  <c r="G59" i="4"/>
  <c r="D59" i="4"/>
  <c r="G58" i="4"/>
  <c r="D58" i="4"/>
  <c r="G57" i="4"/>
  <c r="D57" i="4"/>
  <c r="G56" i="4"/>
  <c r="D56" i="4"/>
  <c r="G55" i="4"/>
  <c r="D55" i="4"/>
  <c r="G54" i="4"/>
  <c r="D54" i="4"/>
  <c r="G53" i="4"/>
  <c r="D53" i="4"/>
  <c r="G52" i="4"/>
  <c r="D52" i="4"/>
  <c r="G51" i="4"/>
  <c r="D51" i="4"/>
  <c r="G50" i="4"/>
  <c r="D50" i="4"/>
  <c r="G49" i="4"/>
  <c r="D49" i="4"/>
  <c r="G48" i="4"/>
  <c r="D48" i="4"/>
  <c r="G47" i="4"/>
  <c r="D47" i="4"/>
  <c r="G46" i="4"/>
  <c r="D46" i="4"/>
  <c r="G45" i="4"/>
  <c r="D45" i="4"/>
  <c r="G44" i="4"/>
  <c r="D44" i="4"/>
  <c r="G43" i="4"/>
  <c r="D43" i="4"/>
  <c r="G42" i="4"/>
  <c r="D42" i="4"/>
  <c r="G41" i="4"/>
  <c r="D41" i="4"/>
  <c r="G40" i="4"/>
  <c r="D40" i="4"/>
  <c r="G39" i="4"/>
  <c r="D39" i="4"/>
  <c r="G38" i="4"/>
  <c r="D38" i="4"/>
  <c r="G37" i="4"/>
  <c r="D37" i="4"/>
  <c r="G36" i="4"/>
  <c r="D36" i="4"/>
  <c r="G35" i="4"/>
  <c r="D35" i="4"/>
  <c r="G34" i="4"/>
  <c r="D34" i="4"/>
  <c r="G33" i="4"/>
  <c r="D33" i="4"/>
  <c r="G32" i="4"/>
  <c r="D32" i="4"/>
  <c r="G31" i="4"/>
  <c r="D31" i="4"/>
  <c r="G30" i="4"/>
  <c r="D30" i="4"/>
  <c r="G29" i="4"/>
  <c r="D29" i="4"/>
  <c r="G28" i="4"/>
  <c r="D28" i="4"/>
  <c r="G27" i="4"/>
  <c r="D27" i="4"/>
  <c r="G26" i="4"/>
  <c r="D26" i="4"/>
  <c r="G25" i="4"/>
  <c r="D25" i="4"/>
  <c r="G24" i="4"/>
  <c r="D24" i="4"/>
  <c r="G23" i="4"/>
  <c r="D23" i="4"/>
  <c r="G22" i="4"/>
  <c r="D22" i="4"/>
  <c r="G21" i="4"/>
  <c r="D21" i="4"/>
  <c r="G20" i="4"/>
  <c r="D20" i="4"/>
  <c r="G269" i="3"/>
  <c r="D269" i="3"/>
  <c r="G268" i="3"/>
  <c r="D268" i="3"/>
  <c r="G267" i="3"/>
  <c r="D267" i="3"/>
  <c r="G266" i="3"/>
  <c r="D266" i="3"/>
  <c r="G265" i="3"/>
  <c r="D265" i="3"/>
  <c r="G264" i="3"/>
  <c r="D264" i="3"/>
  <c r="G263" i="3"/>
  <c r="D263" i="3"/>
  <c r="G262" i="3"/>
  <c r="D262" i="3"/>
  <c r="G261" i="3"/>
  <c r="D261" i="3"/>
  <c r="G260" i="3"/>
  <c r="D260" i="3"/>
  <c r="G259" i="3"/>
  <c r="D259" i="3"/>
  <c r="G258" i="3"/>
  <c r="D258" i="3"/>
  <c r="G257" i="3"/>
  <c r="D257" i="3"/>
  <c r="G256" i="3"/>
  <c r="D256" i="3"/>
  <c r="G255" i="3"/>
  <c r="D255" i="3"/>
  <c r="G254" i="3"/>
  <c r="D254" i="3"/>
  <c r="G253" i="3"/>
  <c r="D253" i="3"/>
  <c r="G252" i="3"/>
  <c r="D252" i="3"/>
  <c r="G251" i="3"/>
  <c r="D251" i="3"/>
  <c r="G250" i="3"/>
  <c r="D250" i="3"/>
  <c r="G249" i="3"/>
  <c r="D249" i="3"/>
  <c r="G248" i="3"/>
  <c r="D248" i="3"/>
  <c r="G247" i="3"/>
  <c r="D247" i="3"/>
  <c r="G246" i="3"/>
  <c r="D246" i="3"/>
  <c r="G245" i="3"/>
  <c r="D245" i="3"/>
  <c r="G244" i="3"/>
  <c r="D244" i="3"/>
  <c r="G243" i="3"/>
  <c r="D243" i="3"/>
  <c r="G242" i="3"/>
  <c r="D242" i="3"/>
  <c r="G241" i="3"/>
  <c r="D241" i="3"/>
  <c r="G240" i="3"/>
  <c r="D240" i="3"/>
  <c r="G239" i="3"/>
  <c r="D239" i="3"/>
  <c r="G238" i="3"/>
  <c r="D238" i="3"/>
  <c r="G237" i="3"/>
  <c r="D237" i="3"/>
  <c r="G236" i="3"/>
  <c r="D236" i="3"/>
  <c r="G235" i="3"/>
  <c r="D235" i="3"/>
  <c r="G234" i="3"/>
  <c r="D234" i="3"/>
  <c r="G233" i="3"/>
  <c r="D233" i="3"/>
  <c r="G232" i="3"/>
  <c r="D232" i="3"/>
  <c r="G231" i="3"/>
  <c r="D231" i="3"/>
  <c r="G230" i="3"/>
  <c r="D230" i="3"/>
  <c r="G229" i="3"/>
  <c r="D229" i="3"/>
  <c r="G228" i="3"/>
  <c r="D228" i="3"/>
  <c r="G227" i="3"/>
  <c r="D227" i="3"/>
  <c r="G226" i="3"/>
  <c r="D226" i="3"/>
  <c r="G225" i="3"/>
  <c r="D225" i="3"/>
  <c r="G224" i="3"/>
  <c r="D224" i="3"/>
  <c r="G223" i="3"/>
  <c r="D223" i="3"/>
  <c r="G222" i="3"/>
  <c r="D222" i="3"/>
  <c r="G221" i="3"/>
  <c r="D221" i="3"/>
  <c r="G220" i="3"/>
  <c r="D220" i="3"/>
  <c r="G219" i="3"/>
  <c r="D219" i="3"/>
  <c r="G218" i="3"/>
  <c r="D218" i="3"/>
  <c r="G217" i="3"/>
  <c r="D217" i="3"/>
  <c r="G216" i="3"/>
  <c r="D216" i="3"/>
  <c r="G215" i="3"/>
  <c r="D215" i="3"/>
  <c r="G214" i="3"/>
  <c r="D214" i="3"/>
  <c r="G213" i="3"/>
  <c r="D213" i="3"/>
  <c r="G212" i="3"/>
  <c r="D212" i="3"/>
  <c r="G211" i="3"/>
  <c r="D211" i="3"/>
  <c r="G210" i="3"/>
  <c r="D210" i="3"/>
  <c r="G209" i="3"/>
  <c r="D209" i="3"/>
  <c r="G208" i="3"/>
  <c r="D208" i="3"/>
  <c r="G207" i="3"/>
  <c r="D207" i="3"/>
  <c r="G206" i="3"/>
  <c r="D206" i="3"/>
  <c r="G205" i="3"/>
  <c r="D205" i="3"/>
  <c r="G204" i="3"/>
  <c r="D204" i="3"/>
  <c r="G203" i="3"/>
  <c r="D203" i="3"/>
  <c r="G202" i="3"/>
  <c r="D202" i="3"/>
  <c r="G201" i="3"/>
  <c r="G200" i="3"/>
  <c r="D200" i="3"/>
  <c r="G199" i="3"/>
  <c r="D199" i="3"/>
  <c r="G198" i="3"/>
  <c r="D198" i="3"/>
  <c r="G197" i="3"/>
  <c r="D197" i="3"/>
  <c r="G196" i="3"/>
  <c r="D196" i="3"/>
  <c r="G195" i="3"/>
  <c r="D195" i="3"/>
  <c r="G194" i="3"/>
  <c r="D194" i="3"/>
  <c r="G193" i="3"/>
  <c r="D193" i="3"/>
  <c r="G192" i="3"/>
  <c r="D192" i="3"/>
  <c r="G191" i="3"/>
  <c r="D191" i="3"/>
  <c r="G190" i="3"/>
  <c r="D190" i="3"/>
  <c r="G189" i="3"/>
  <c r="D189" i="3"/>
  <c r="G188" i="3"/>
  <c r="D188" i="3"/>
  <c r="G187" i="3"/>
  <c r="D187" i="3"/>
  <c r="G186" i="3"/>
  <c r="D186" i="3"/>
  <c r="G185" i="3"/>
  <c r="D185" i="3"/>
  <c r="G184" i="3"/>
  <c r="D184" i="3"/>
  <c r="G183" i="3"/>
  <c r="D183" i="3"/>
  <c r="G182" i="3"/>
  <c r="D182" i="3"/>
  <c r="G181" i="3"/>
  <c r="D181" i="3"/>
  <c r="G180" i="3"/>
  <c r="D180" i="3"/>
  <c r="G179" i="3"/>
  <c r="D179" i="3"/>
  <c r="G178" i="3"/>
  <c r="D178" i="3"/>
  <c r="G177" i="3"/>
  <c r="D177" i="3"/>
  <c r="G176" i="3"/>
  <c r="D176" i="3"/>
  <c r="G175" i="3"/>
  <c r="D175" i="3"/>
  <c r="G174" i="3"/>
  <c r="D174" i="3"/>
  <c r="G173" i="3"/>
  <c r="D173" i="3"/>
  <c r="G172" i="3"/>
  <c r="D172" i="3"/>
  <c r="G171" i="3"/>
  <c r="D171" i="3"/>
  <c r="G170" i="3"/>
  <c r="D170" i="3"/>
  <c r="G169" i="3"/>
  <c r="D169" i="3"/>
  <c r="G168" i="3"/>
  <c r="D168" i="3"/>
  <c r="G167" i="3"/>
  <c r="D167" i="3"/>
  <c r="G166" i="3"/>
  <c r="D166" i="3"/>
  <c r="G165" i="3"/>
  <c r="D165" i="3"/>
  <c r="G164" i="3"/>
  <c r="D164" i="3"/>
  <c r="G163" i="3"/>
  <c r="D163" i="3"/>
  <c r="G162" i="3"/>
  <c r="D162" i="3"/>
  <c r="G161" i="3"/>
  <c r="D161" i="3"/>
  <c r="G160" i="3"/>
  <c r="D160" i="3"/>
  <c r="G159" i="3"/>
  <c r="D159" i="3"/>
  <c r="G158" i="3"/>
  <c r="D158" i="3"/>
  <c r="G157" i="3"/>
  <c r="D157" i="3"/>
  <c r="G156" i="3"/>
  <c r="D156" i="3"/>
  <c r="G155" i="3"/>
  <c r="D155" i="3"/>
  <c r="G154" i="3"/>
  <c r="D154" i="3"/>
  <c r="G153" i="3"/>
  <c r="D153" i="3"/>
  <c r="G152" i="3"/>
  <c r="D152" i="3"/>
  <c r="G151" i="3"/>
  <c r="D151" i="3"/>
  <c r="G150" i="3"/>
  <c r="D150" i="3"/>
  <c r="G149" i="3"/>
  <c r="D149" i="3"/>
  <c r="G148" i="3"/>
  <c r="D148" i="3"/>
  <c r="G147" i="3"/>
  <c r="D147" i="3"/>
  <c r="G146" i="3"/>
  <c r="D146" i="3"/>
  <c r="G145" i="3"/>
  <c r="D145" i="3"/>
  <c r="G144" i="3"/>
  <c r="D144" i="3"/>
  <c r="G143" i="3"/>
  <c r="D143" i="3"/>
  <c r="G142" i="3"/>
  <c r="D142" i="3"/>
  <c r="G141" i="3"/>
  <c r="D141" i="3"/>
  <c r="G140" i="3"/>
  <c r="D140" i="3"/>
  <c r="G139" i="3"/>
  <c r="D139" i="3"/>
  <c r="G137" i="3"/>
  <c r="D137" i="3"/>
  <c r="G136" i="3"/>
  <c r="D136" i="3"/>
  <c r="G135" i="3"/>
  <c r="D135" i="3"/>
  <c r="G134" i="3"/>
  <c r="D134" i="3"/>
  <c r="G133" i="3"/>
  <c r="D133" i="3"/>
  <c r="G132" i="3"/>
  <c r="D132" i="3"/>
  <c r="G131" i="3"/>
  <c r="D131" i="3"/>
  <c r="G130" i="3"/>
  <c r="D130" i="3"/>
  <c r="G129" i="3"/>
  <c r="D129" i="3"/>
  <c r="G128" i="3"/>
  <c r="D128" i="3"/>
  <c r="G127" i="3"/>
  <c r="D127" i="3"/>
  <c r="G126" i="3"/>
  <c r="D126" i="3"/>
  <c r="G125" i="3"/>
  <c r="D125" i="3"/>
  <c r="G124" i="3"/>
  <c r="D124" i="3"/>
  <c r="G123" i="3"/>
  <c r="D123" i="3"/>
  <c r="G122" i="3"/>
  <c r="D122" i="3"/>
  <c r="G121" i="3"/>
  <c r="D121" i="3"/>
  <c r="G120" i="3"/>
  <c r="D120" i="3"/>
  <c r="G119" i="3"/>
  <c r="D119" i="3"/>
  <c r="G118" i="3"/>
  <c r="D118" i="3"/>
  <c r="G117" i="3"/>
  <c r="D117" i="3"/>
  <c r="G116" i="3"/>
  <c r="D116" i="3"/>
  <c r="G115" i="3"/>
  <c r="D115" i="3"/>
  <c r="G114" i="3"/>
  <c r="D114" i="3"/>
  <c r="G113" i="3"/>
  <c r="D113" i="3"/>
  <c r="G112" i="3"/>
  <c r="D112" i="3"/>
  <c r="G111" i="3"/>
  <c r="D111" i="3"/>
  <c r="G110" i="3"/>
  <c r="D110" i="3"/>
  <c r="G109" i="3"/>
  <c r="D109" i="3"/>
  <c r="G108" i="3"/>
  <c r="D108" i="3"/>
  <c r="G107" i="3"/>
  <c r="D107" i="3"/>
  <c r="G106" i="3"/>
  <c r="D106" i="3"/>
  <c r="G105" i="3"/>
  <c r="D105" i="3"/>
  <c r="G104" i="3"/>
  <c r="D104" i="3"/>
  <c r="G103" i="3"/>
  <c r="D103" i="3"/>
  <c r="G102" i="3"/>
  <c r="D102" i="3"/>
  <c r="G101" i="3"/>
  <c r="D101" i="3"/>
  <c r="G100" i="3"/>
  <c r="D100" i="3"/>
  <c r="G99" i="3"/>
  <c r="D99" i="3"/>
  <c r="G98" i="3"/>
  <c r="D98" i="3"/>
  <c r="G97" i="3"/>
  <c r="D97" i="3"/>
  <c r="G96" i="3"/>
  <c r="D96" i="3"/>
  <c r="G95" i="3"/>
  <c r="D95" i="3"/>
  <c r="G94" i="3"/>
  <c r="D94" i="3"/>
  <c r="G93" i="3"/>
  <c r="D93" i="3"/>
  <c r="G92" i="3"/>
  <c r="D92" i="3"/>
  <c r="G91" i="3"/>
  <c r="D91" i="3"/>
  <c r="G90" i="3"/>
  <c r="D90" i="3"/>
  <c r="G89" i="3"/>
  <c r="D89" i="3"/>
  <c r="G88" i="3"/>
  <c r="D88" i="3"/>
  <c r="G87" i="3"/>
  <c r="D87" i="3"/>
  <c r="G86" i="3"/>
  <c r="D86" i="3"/>
  <c r="G85" i="3"/>
  <c r="D85" i="3"/>
  <c r="G84" i="3"/>
  <c r="D84" i="3"/>
  <c r="G83" i="3"/>
  <c r="D83" i="3"/>
  <c r="G82" i="3"/>
  <c r="D82" i="3"/>
  <c r="G81" i="3"/>
  <c r="D81" i="3"/>
  <c r="G80" i="3"/>
  <c r="D80" i="3"/>
  <c r="G79" i="3"/>
  <c r="D79" i="3"/>
  <c r="G78" i="3"/>
  <c r="D78" i="3"/>
  <c r="G77" i="3"/>
  <c r="D77" i="3"/>
  <c r="G76" i="3"/>
  <c r="D76" i="3"/>
  <c r="G75" i="3"/>
  <c r="D75" i="3"/>
  <c r="G74" i="3"/>
  <c r="D74" i="3"/>
  <c r="G73" i="3"/>
  <c r="D73" i="3"/>
  <c r="G72" i="3"/>
  <c r="D72" i="3"/>
  <c r="G71" i="3"/>
  <c r="D71" i="3"/>
  <c r="G70" i="3"/>
  <c r="D70" i="3"/>
  <c r="G69" i="3"/>
  <c r="D69" i="3"/>
  <c r="G68" i="3"/>
  <c r="D68" i="3"/>
  <c r="G67" i="3"/>
  <c r="D67" i="3"/>
  <c r="G66" i="3"/>
  <c r="D66" i="3"/>
  <c r="G65" i="3"/>
  <c r="D65" i="3"/>
  <c r="G64" i="3"/>
  <c r="D64" i="3"/>
  <c r="G63" i="3"/>
  <c r="D63" i="3"/>
  <c r="G62" i="3"/>
  <c r="D62" i="3"/>
  <c r="G61" i="3"/>
  <c r="D61" i="3"/>
  <c r="G60" i="3"/>
  <c r="D60" i="3"/>
  <c r="G59" i="3"/>
  <c r="D59" i="3"/>
  <c r="G58" i="3"/>
  <c r="D58" i="3"/>
  <c r="G57" i="3"/>
  <c r="D57" i="3"/>
  <c r="G56" i="3"/>
  <c r="D56" i="3"/>
  <c r="G55" i="3"/>
  <c r="D55" i="3"/>
  <c r="G54" i="3"/>
  <c r="D54" i="3"/>
  <c r="G53" i="3"/>
  <c r="D53" i="3"/>
  <c r="G52" i="3"/>
  <c r="D52" i="3"/>
  <c r="G51" i="3"/>
  <c r="D51" i="3"/>
  <c r="G50" i="3"/>
  <c r="D50" i="3"/>
  <c r="G49" i="3"/>
  <c r="D49" i="3"/>
  <c r="G48" i="3"/>
  <c r="D48" i="3"/>
  <c r="G47" i="3"/>
  <c r="D47" i="3"/>
  <c r="G46" i="3"/>
  <c r="D46" i="3"/>
  <c r="G45" i="3"/>
  <c r="D45" i="3"/>
  <c r="G44" i="3"/>
  <c r="D44" i="3"/>
  <c r="G43" i="3"/>
  <c r="D43" i="3"/>
  <c r="G42" i="3"/>
  <c r="D42" i="3"/>
  <c r="G41" i="3"/>
  <c r="D41" i="3"/>
  <c r="G40" i="3"/>
  <c r="D40" i="3"/>
  <c r="G39" i="3"/>
  <c r="D39" i="3"/>
  <c r="G38" i="3"/>
  <c r="D38" i="3"/>
  <c r="G37" i="3"/>
  <c r="D37" i="3"/>
  <c r="G36" i="3"/>
  <c r="D36" i="3"/>
  <c r="G35" i="3"/>
  <c r="D35" i="3"/>
  <c r="G34" i="3"/>
  <c r="D34" i="3"/>
  <c r="G33" i="3"/>
  <c r="D33" i="3"/>
  <c r="G32" i="3"/>
  <c r="D32" i="3"/>
  <c r="G31" i="3"/>
  <c r="D31" i="3"/>
  <c r="G30" i="3"/>
  <c r="D30" i="3"/>
  <c r="G29" i="3"/>
  <c r="D29" i="3"/>
  <c r="G28" i="3"/>
  <c r="D28" i="3"/>
  <c r="G27" i="3"/>
  <c r="D27" i="3"/>
  <c r="G26" i="3"/>
  <c r="D26" i="3"/>
  <c r="G25" i="3"/>
  <c r="D25" i="3"/>
  <c r="G24" i="3"/>
  <c r="D24" i="3"/>
  <c r="G23" i="3"/>
  <c r="D23" i="3"/>
  <c r="G22" i="3"/>
  <c r="D22" i="3"/>
  <c r="G21" i="3"/>
  <c r="D21" i="3"/>
  <c r="G20" i="3"/>
  <c r="D20" i="3"/>
  <c r="G269" i="2"/>
  <c r="D269" i="2"/>
  <c r="G268" i="2"/>
  <c r="D268" i="2"/>
  <c r="G267" i="2"/>
  <c r="D267" i="2"/>
  <c r="G266" i="2"/>
  <c r="D266" i="2"/>
  <c r="G265" i="2"/>
  <c r="D265" i="2"/>
  <c r="G264" i="2"/>
  <c r="D264" i="2"/>
  <c r="G263" i="2"/>
  <c r="D263" i="2"/>
  <c r="G262" i="2"/>
  <c r="D262" i="2"/>
  <c r="G261" i="2"/>
  <c r="D261" i="2"/>
  <c r="G260" i="2"/>
  <c r="D260" i="2"/>
  <c r="G259" i="2"/>
  <c r="D259" i="2"/>
  <c r="G258" i="2"/>
  <c r="D258" i="2"/>
  <c r="G257" i="2"/>
  <c r="D257" i="2"/>
  <c r="G256" i="2"/>
  <c r="D256" i="2"/>
  <c r="G255" i="2"/>
  <c r="D255" i="2"/>
  <c r="G254" i="2"/>
  <c r="D254" i="2"/>
  <c r="G253" i="2"/>
  <c r="D253" i="2"/>
  <c r="G252" i="2"/>
  <c r="D252" i="2"/>
  <c r="G251" i="2"/>
  <c r="D251" i="2"/>
  <c r="G250" i="2"/>
  <c r="D250" i="2"/>
  <c r="G249" i="2"/>
  <c r="D249" i="2"/>
  <c r="G248" i="2"/>
  <c r="D248" i="2"/>
  <c r="G247" i="2"/>
  <c r="D247" i="2"/>
  <c r="G246" i="2"/>
  <c r="D246" i="2"/>
  <c r="G245" i="2"/>
  <c r="D245" i="2"/>
  <c r="G244" i="2"/>
  <c r="D244" i="2"/>
  <c r="G243" i="2"/>
  <c r="D243" i="2"/>
  <c r="G242" i="2"/>
  <c r="D242" i="2"/>
  <c r="G241" i="2"/>
  <c r="D241" i="2"/>
  <c r="G240" i="2"/>
  <c r="D240" i="2"/>
  <c r="G239" i="2"/>
  <c r="D239" i="2"/>
  <c r="G238" i="2"/>
  <c r="D238" i="2"/>
  <c r="G237" i="2"/>
  <c r="D237" i="2"/>
  <c r="G236" i="2"/>
  <c r="D236" i="2"/>
  <c r="G235" i="2"/>
  <c r="D235" i="2"/>
  <c r="G234" i="2"/>
  <c r="D234" i="2"/>
  <c r="G233" i="2"/>
  <c r="D233" i="2"/>
  <c r="G232" i="2"/>
  <c r="D232" i="2"/>
  <c r="G231" i="2"/>
  <c r="D231" i="2"/>
  <c r="G230" i="2"/>
  <c r="D230" i="2"/>
  <c r="G229" i="2"/>
  <c r="D229" i="2"/>
  <c r="G228" i="2"/>
  <c r="D228" i="2"/>
  <c r="G227" i="2"/>
  <c r="D227" i="2"/>
  <c r="G226" i="2"/>
  <c r="D226" i="2"/>
  <c r="G225" i="2"/>
  <c r="D225" i="2"/>
  <c r="G224" i="2"/>
  <c r="D224" i="2"/>
  <c r="G223" i="2"/>
  <c r="D223" i="2"/>
  <c r="G222" i="2"/>
  <c r="D222" i="2"/>
  <c r="G221" i="2"/>
  <c r="D221" i="2"/>
  <c r="G220" i="2"/>
  <c r="D220" i="2"/>
  <c r="G219" i="2"/>
  <c r="D219" i="2"/>
  <c r="G218" i="2"/>
  <c r="D218" i="2"/>
  <c r="G217" i="2"/>
  <c r="D217" i="2"/>
  <c r="G216" i="2"/>
  <c r="D216" i="2"/>
  <c r="G215" i="2"/>
  <c r="D215" i="2"/>
  <c r="G214" i="2"/>
  <c r="D214" i="2"/>
  <c r="G213" i="2"/>
  <c r="D213" i="2"/>
  <c r="G212" i="2"/>
  <c r="D212" i="2"/>
  <c r="G211" i="2"/>
  <c r="D211" i="2"/>
  <c r="G210" i="2"/>
  <c r="D210" i="2"/>
  <c r="G209" i="2"/>
  <c r="D209" i="2"/>
  <c r="G208" i="2"/>
  <c r="D208" i="2"/>
  <c r="G207" i="2"/>
  <c r="D207" i="2"/>
  <c r="G206" i="2"/>
  <c r="D206" i="2"/>
  <c r="G205" i="2"/>
  <c r="D205" i="2"/>
  <c r="G204" i="2"/>
  <c r="D204" i="2"/>
  <c r="G203" i="2"/>
  <c r="D203" i="2"/>
  <c r="G202" i="2"/>
  <c r="D202" i="2"/>
  <c r="G201" i="2"/>
  <c r="D201" i="2"/>
  <c r="G199" i="2"/>
  <c r="D199" i="2"/>
  <c r="G198" i="2"/>
  <c r="D198" i="2"/>
  <c r="G197" i="2"/>
  <c r="D197" i="2"/>
  <c r="G196" i="2"/>
  <c r="D196" i="2"/>
  <c r="G195" i="2"/>
  <c r="D195" i="2"/>
  <c r="G194" i="2"/>
  <c r="D194" i="2"/>
  <c r="G193" i="2"/>
  <c r="D193" i="2"/>
  <c r="G192" i="2"/>
  <c r="D192" i="2"/>
  <c r="G191" i="2"/>
  <c r="D191" i="2"/>
  <c r="G190" i="2"/>
  <c r="D190" i="2"/>
  <c r="G189" i="2"/>
  <c r="D189" i="2"/>
  <c r="G188" i="2"/>
  <c r="D188" i="2"/>
  <c r="G187" i="2"/>
  <c r="D187" i="2"/>
  <c r="G186" i="2"/>
  <c r="D186" i="2"/>
  <c r="G185" i="2"/>
  <c r="D185" i="2"/>
  <c r="G184" i="2"/>
  <c r="D184" i="2"/>
  <c r="G183" i="2"/>
  <c r="D183" i="2"/>
  <c r="G182" i="2"/>
  <c r="D182" i="2"/>
  <c r="G181" i="2"/>
  <c r="D181" i="2"/>
  <c r="G180" i="2"/>
  <c r="D180" i="2"/>
  <c r="G179" i="2"/>
  <c r="D179" i="2"/>
  <c r="G178" i="2"/>
  <c r="D178" i="2"/>
  <c r="G177" i="2"/>
  <c r="D177" i="2"/>
  <c r="G176" i="2"/>
  <c r="D176" i="2"/>
  <c r="G175" i="2"/>
  <c r="D175" i="2"/>
  <c r="G174" i="2"/>
  <c r="D174" i="2"/>
  <c r="G173" i="2"/>
  <c r="D173" i="2"/>
  <c r="G172" i="2"/>
  <c r="D172" i="2"/>
  <c r="G171" i="2"/>
  <c r="D171" i="2"/>
  <c r="G170" i="2"/>
  <c r="D170" i="2"/>
  <c r="G169" i="2"/>
  <c r="D169" i="2"/>
  <c r="G168" i="2"/>
  <c r="D168" i="2"/>
  <c r="G167" i="2"/>
  <c r="D167" i="2"/>
  <c r="G166" i="2"/>
  <c r="D166" i="2"/>
  <c r="G165" i="2"/>
  <c r="D165" i="2"/>
  <c r="G164" i="2"/>
  <c r="D164" i="2"/>
  <c r="G163" i="2"/>
  <c r="D163" i="2"/>
  <c r="G162" i="2"/>
  <c r="D162" i="2"/>
  <c r="G161" i="2"/>
  <c r="D161" i="2"/>
  <c r="G160" i="2"/>
  <c r="D160" i="2"/>
  <c r="G159" i="2"/>
  <c r="D159" i="2"/>
  <c r="G158" i="2"/>
  <c r="D158" i="2"/>
  <c r="G157" i="2"/>
  <c r="D157" i="2"/>
  <c r="G156" i="2"/>
  <c r="D156" i="2"/>
  <c r="G155" i="2"/>
  <c r="D155" i="2"/>
  <c r="G154" i="2"/>
  <c r="D154" i="2"/>
  <c r="G153" i="2"/>
  <c r="D153" i="2"/>
  <c r="G152" i="2"/>
  <c r="D152" i="2"/>
  <c r="G151" i="2"/>
  <c r="D151" i="2"/>
  <c r="G150" i="2"/>
  <c r="D150" i="2"/>
  <c r="G149" i="2"/>
  <c r="D149" i="2"/>
  <c r="G148" i="2"/>
  <c r="D148" i="2"/>
  <c r="G147" i="2"/>
  <c r="D147" i="2"/>
  <c r="G146" i="2"/>
  <c r="D146" i="2"/>
  <c r="G145" i="2"/>
  <c r="D145" i="2"/>
  <c r="G144" i="2"/>
  <c r="D144" i="2"/>
  <c r="G143" i="2"/>
  <c r="D143" i="2"/>
  <c r="G142" i="2"/>
  <c r="D142" i="2"/>
  <c r="G141" i="2"/>
  <c r="D141" i="2"/>
  <c r="G140" i="2"/>
  <c r="D140" i="2"/>
  <c r="G139" i="2"/>
  <c r="D139" i="2"/>
  <c r="G138" i="2"/>
  <c r="D138" i="2"/>
  <c r="G137" i="2"/>
  <c r="D137" i="2"/>
  <c r="G136" i="2"/>
  <c r="D136" i="2"/>
  <c r="G135" i="2"/>
  <c r="D135" i="2"/>
  <c r="G134" i="2"/>
  <c r="D134" i="2"/>
  <c r="G133" i="2"/>
  <c r="D133" i="2"/>
  <c r="G132" i="2"/>
  <c r="D132" i="2"/>
  <c r="G131" i="2"/>
  <c r="D131" i="2"/>
  <c r="G130" i="2"/>
  <c r="D130" i="2"/>
  <c r="G129" i="2"/>
  <c r="D129" i="2"/>
  <c r="G128" i="2"/>
  <c r="D128" i="2"/>
  <c r="G127" i="2"/>
  <c r="D127" i="2"/>
  <c r="G126" i="2"/>
  <c r="D126" i="2"/>
  <c r="G125" i="2"/>
  <c r="D125" i="2"/>
  <c r="G124" i="2"/>
  <c r="D124" i="2"/>
  <c r="G123" i="2"/>
  <c r="D123" i="2"/>
  <c r="G122" i="2"/>
  <c r="D122" i="2"/>
  <c r="G121" i="2"/>
  <c r="D121" i="2"/>
  <c r="G120" i="2"/>
  <c r="D120" i="2"/>
  <c r="G119" i="2"/>
  <c r="D119" i="2"/>
  <c r="G118" i="2"/>
  <c r="D118" i="2"/>
  <c r="G117" i="2"/>
  <c r="D117" i="2"/>
  <c r="G116" i="2"/>
  <c r="D116" i="2"/>
  <c r="G115" i="2"/>
  <c r="D115" i="2"/>
  <c r="G114" i="2"/>
  <c r="D114" i="2"/>
  <c r="G113" i="2"/>
  <c r="D113" i="2"/>
  <c r="G112" i="2"/>
  <c r="D112" i="2"/>
  <c r="G111" i="2"/>
  <c r="D111" i="2"/>
  <c r="G110" i="2"/>
  <c r="D110" i="2"/>
  <c r="G109" i="2"/>
  <c r="D109" i="2"/>
  <c r="G108" i="2"/>
  <c r="D108" i="2"/>
  <c r="G107" i="2"/>
  <c r="D107" i="2"/>
  <c r="G106" i="2"/>
  <c r="D106" i="2"/>
  <c r="G105" i="2"/>
  <c r="D105" i="2"/>
  <c r="G104" i="2"/>
  <c r="D104" i="2"/>
  <c r="G103" i="2"/>
  <c r="D103" i="2"/>
  <c r="G102" i="2"/>
  <c r="D102" i="2"/>
  <c r="G101" i="2"/>
  <c r="D101" i="2"/>
  <c r="G100" i="2"/>
  <c r="D100" i="2"/>
  <c r="G99" i="2"/>
  <c r="D99" i="2"/>
  <c r="G98" i="2"/>
  <c r="D98" i="2"/>
  <c r="G97" i="2"/>
  <c r="D97" i="2"/>
  <c r="G96" i="2"/>
  <c r="D96" i="2"/>
  <c r="G95" i="2"/>
  <c r="D95" i="2"/>
  <c r="G94" i="2"/>
  <c r="D94" i="2"/>
  <c r="G93" i="2"/>
  <c r="D93" i="2"/>
  <c r="G92" i="2"/>
  <c r="D92" i="2"/>
  <c r="G91" i="2"/>
  <c r="D91" i="2"/>
  <c r="G90" i="2"/>
  <c r="D90" i="2"/>
  <c r="G89" i="2"/>
  <c r="D89" i="2"/>
  <c r="G88" i="2"/>
  <c r="D88" i="2"/>
  <c r="G87" i="2"/>
  <c r="D87" i="2"/>
  <c r="G86" i="2"/>
  <c r="D86" i="2"/>
  <c r="G85" i="2"/>
  <c r="D85" i="2"/>
  <c r="G84" i="2"/>
  <c r="D84" i="2"/>
  <c r="G83" i="2"/>
  <c r="D83" i="2"/>
  <c r="G82" i="2"/>
  <c r="D82" i="2"/>
  <c r="G81" i="2"/>
  <c r="D81" i="2"/>
  <c r="G80" i="2"/>
  <c r="D80" i="2"/>
  <c r="G79" i="2"/>
  <c r="D79" i="2"/>
  <c r="G78" i="2"/>
  <c r="D78" i="2"/>
  <c r="G77" i="2"/>
  <c r="D77" i="2"/>
  <c r="G76" i="2"/>
  <c r="D76" i="2"/>
  <c r="G75" i="2"/>
  <c r="D75" i="2"/>
  <c r="G74" i="2"/>
  <c r="D74" i="2"/>
  <c r="G73" i="2"/>
  <c r="D73" i="2"/>
  <c r="G72" i="2"/>
  <c r="D72" i="2"/>
  <c r="G71" i="2"/>
  <c r="D71" i="2"/>
  <c r="G70" i="2"/>
  <c r="D70" i="2"/>
  <c r="G69" i="2"/>
  <c r="D69" i="2"/>
  <c r="G68" i="2"/>
  <c r="D68" i="2"/>
  <c r="G67" i="2"/>
  <c r="D67" i="2"/>
  <c r="G66" i="2"/>
  <c r="D66" i="2"/>
  <c r="G65" i="2"/>
  <c r="D65" i="2"/>
  <c r="G64" i="2"/>
  <c r="D64" i="2"/>
  <c r="G63" i="2"/>
  <c r="D63" i="2"/>
  <c r="G62" i="2"/>
  <c r="D62" i="2"/>
  <c r="G61" i="2"/>
  <c r="D61" i="2"/>
  <c r="G60" i="2"/>
  <c r="D60" i="2"/>
  <c r="G59" i="2"/>
  <c r="D59" i="2"/>
  <c r="G58" i="2"/>
  <c r="D58" i="2"/>
  <c r="G57" i="2"/>
  <c r="D57" i="2"/>
  <c r="G56" i="2"/>
  <c r="D56" i="2"/>
  <c r="G55" i="2"/>
  <c r="D55" i="2"/>
  <c r="G54" i="2"/>
  <c r="D54" i="2"/>
  <c r="G53" i="2"/>
  <c r="D53" i="2"/>
  <c r="G52" i="2"/>
  <c r="D52" i="2"/>
  <c r="G51" i="2"/>
  <c r="D51" i="2"/>
  <c r="G50" i="2"/>
  <c r="D50" i="2"/>
  <c r="G49" i="2"/>
  <c r="D49" i="2"/>
  <c r="G48" i="2"/>
  <c r="D48" i="2"/>
  <c r="G47" i="2"/>
  <c r="D47" i="2"/>
  <c r="G46" i="2"/>
  <c r="D46" i="2"/>
  <c r="G45" i="2"/>
  <c r="D45" i="2"/>
  <c r="G44" i="2"/>
  <c r="D44" i="2"/>
  <c r="G43" i="2"/>
  <c r="D43" i="2"/>
  <c r="G42" i="2"/>
  <c r="D42" i="2"/>
  <c r="G41" i="2"/>
  <c r="D41" i="2"/>
  <c r="G40" i="2"/>
  <c r="D40" i="2"/>
  <c r="G39" i="2"/>
  <c r="D39" i="2"/>
  <c r="G38" i="2"/>
  <c r="D38" i="2"/>
  <c r="G37" i="2"/>
  <c r="D37" i="2"/>
  <c r="G36" i="2"/>
  <c r="D36" i="2"/>
  <c r="G35" i="2"/>
  <c r="D35" i="2"/>
  <c r="G34" i="2"/>
  <c r="D34" i="2"/>
  <c r="G33" i="2"/>
  <c r="D33" i="2"/>
  <c r="G32" i="2"/>
  <c r="D32" i="2"/>
  <c r="G31" i="2"/>
  <c r="D31" i="2"/>
  <c r="G30" i="2"/>
  <c r="D30" i="2"/>
  <c r="G29" i="2"/>
  <c r="D29" i="2"/>
  <c r="G28" i="2"/>
  <c r="D28" i="2"/>
  <c r="G27" i="2"/>
  <c r="D27" i="2"/>
  <c r="G26" i="2"/>
  <c r="D26" i="2"/>
  <c r="G25" i="2"/>
  <c r="D25" i="2"/>
  <c r="G24" i="2"/>
  <c r="D24" i="2"/>
  <c r="G23" i="2"/>
  <c r="D23" i="2"/>
  <c r="G22" i="2"/>
  <c r="D22" i="2"/>
  <c r="G21" i="2"/>
  <c r="D21" i="2"/>
  <c r="G20" i="2"/>
  <c r="D20" i="2"/>
  <c r="D20" i="1"/>
  <c r="G20" i="1"/>
  <c r="D21" i="1"/>
  <c r="G21" i="1"/>
  <c r="D22" i="1"/>
  <c r="G22" i="1"/>
  <c r="D23" i="1"/>
  <c r="G23" i="1"/>
  <c r="D24" i="1"/>
  <c r="G24" i="1"/>
  <c r="D25" i="1"/>
  <c r="G25" i="1"/>
  <c r="D26" i="1"/>
  <c r="G26" i="1"/>
  <c r="D27" i="1"/>
  <c r="G27" i="1"/>
  <c r="D28" i="1"/>
  <c r="G28" i="1"/>
  <c r="D29" i="1"/>
  <c r="G29" i="1"/>
  <c r="D30" i="1"/>
  <c r="G30" i="1"/>
  <c r="D31" i="1"/>
  <c r="G31" i="1"/>
  <c r="D32" i="1"/>
  <c r="G32" i="1"/>
  <c r="D33" i="1"/>
  <c r="G33" i="1"/>
  <c r="D34" i="1"/>
  <c r="G34" i="1"/>
  <c r="D35" i="1"/>
  <c r="G35" i="1"/>
  <c r="D36" i="1"/>
  <c r="G36" i="1"/>
  <c r="D37" i="1"/>
  <c r="G37" i="1"/>
  <c r="D38" i="1"/>
  <c r="G38" i="1"/>
  <c r="D39" i="1"/>
  <c r="G39" i="1"/>
  <c r="D40" i="1"/>
  <c r="G40" i="1"/>
  <c r="D41" i="1"/>
  <c r="G41" i="1"/>
  <c r="D42" i="1"/>
  <c r="G42" i="1"/>
  <c r="D43" i="1"/>
  <c r="G43" i="1"/>
  <c r="D44" i="1"/>
  <c r="G44" i="1"/>
  <c r="D45" i="1"/>
  <c r="G45" i="1"/>
  <c r="D46" i="1"/>
  <c r="G46" i="1"/>
  <c r="D47" i="1"/>
  <c r="G47" i="1"/>
  <c r="D48" i="1"/>
  <c r="G48" i="1"/>
  <c r="D49" i="1"/>
  <c r="G49" i="1"/>
  <c r="D50" i="1"/>
  <c r="G50" i="1"/>
  <c r="D51" i="1"/>
  <c r="G51" i="1"/>
  <c r="D52" i="1"/>
  <c r="G52" i="1"/>
  <c r="D53" i="1"/>
  <c r="G53" i="1"/>
  <c r="D54" i="1"/>
  <c r="G54" i="1"/>
  <c r="D55" i="1"/>
  <c r="G55" i="1"/>
  <c r="D56" i="1"/>
  <c r="G56" i="1"/>
  <c r="D57" i="1"/>
  <c r="G57" i="1"/>
  <c r="D58" i="1"/>
  <c r="G58" i="1"/>
  <c r="D59" i="1"/>
  <c r="G59" i="1"/>
  <c r="D60" i="1"/>
  <c r="G60" i="1"/>
  <c r="D61" i="1"/>
  <c r="G61" i="1"/>
  <c r="D62" i="1"/>
  <c r="G62" i="1"/>
  <c r="D63" i="1"/>
  <c r="G63" i="1"/>
  <c r="D64" i="1"/>
  <c r="G64" i="1"/>
  <c r="D65" i="1"/>
  <c r="G65" i="1"/>
  <c r="D66" i="1"/>
  <c r="G66" i="1"/>
  <c r="D67" i="1"/>
  <c r="G67" i="1"/>
  <c r="D68" i="1"/>
  <c r="G68" i="1"/>
  <c r="D69" i="1"/>
  <c r="G69" i="1"/>
  <c r="D70" i="1"/>
  <c r="G70" i="1"/>
  <c r="D71" i="1"/>
  <c r="G71" i="1"/>
  <c r="D72" i="1"/>
  <c r="G72" i="1"/>
  <c r="D73" i="1"/>
  <c r="G73" i="1"/>
  <c r="D74" i="1"/>
  <c r="G74" i="1"/>
  <c r="D75" i="1"/>
  <c r="G75" i="1"/>
  <c r="D76" i="1"/>
  <c r="G76" i="1"/>
  <c r="D77" i="1"/>
  <c r="G77" i="1"/>
  <c r="D78" i="1"/>
  <c r="G78" i="1"/>
  <c r="D79" i="1"/>
  <c r="G79" i="1"/>
  <c r="D80" i="1"/>
  <c r="G80" i="1"/>
  <c r="D81" i="1"/>
  <c r="G81" i="1"/>
  <c r="D82" i="1"/>
  <c r="G82" i="1"/>
  <c r="D83" i="1"/>
  <c r="G83" i="1"/>
  <c r="D84" i="1"/>
  <c r="G84" i="1"/>
  <c r="D85" i="1"/>
  <c r="G85" i="1"/>
  <c r="D86" i="1"/>
  <c r="G86" i="1"/>
  <c r="D87" i="1"/>
  <c r="G87" i="1"/>
  <c r="D88" i="1"/>
  <c r="G88" i="1"/>
  <c r="D89" i="1"/>
  <c r="G89" i="1"/>
  <c r="D90" i="1"/>
  <c r="G90" i="1"/>
  <c r="D91" i="1"/>
  <c r="G91" i="1"/>
  <c r="D92" i="1"/>
  <c r="G92" i="1"/>
  <c r="D93" i="1"/>
  <c r="G93" i="1"/>
  <c r="D94" i="1"/>
  <c r="G94" i="1"/>
  <c r="D95" i="1"/>
  <c r="G95" i="1"/>
  <c r="D96" i="1"/>
  <c r="G96" i="1"/>
  <c r="D97" i="1"/>
  <c r="G97" i="1"/>
  <c r="D98" i="1"/>
  <c r="G98" i="1"/>
  <c r="D99" i="1"/>
  <c r="G99" i="1"/>
  <c r="D100" i="1"/>
  <c r="G100" i="1"/>
  <c r="D101" i="1"/>
  <c r="G101" i="1"/>
  <c r="D102" i="1"/>
  <c r="G102" i="1"/>
  <c r="D103" i="1"/>
  <c r="G103" i="1"/>
  <c r="D104" i="1"/>
  <c r="G104" i="1"/>
  <c r="D105" i="1"/>
  <c r="G105" i="1"/>
  <c r="D106" i="1"/>
  <c r="G106" i="1"/>
  <c r="D107" i="1"/>
  <c r="G107" i="1"/>
  <c r="D108" i="1"/>
  <c r="G108" i="1"/>
  <c r="D109" i="1"/>
  <c r="G109" i="1"/>
  <c r="D110" i="1"/>
  <c r="G110" i="1"/>
  <c r="D111" i="1"/>
  <c r="G111" i="1"/>
  <c r="D112" i="1"/>
  <c r="G112" i="1"/>
  <c r="D113" i="1"/>
  <c r="G113" i="1"/>
  <c r="D114" i="1"/>
  <c r="G114" i="1"/>
  <c r="D115" i="1"/>
  <c r="G115" i="1"/>
  <c r="D116" i="1"/>
  <c r="G116" i="1"/>
  <c r="D117" i="1"/>
  <c r="G117" i="1"/>
  <c r="D118" i="1"/>
  <c r="G118" i="1"/>
  <c r="D119" i="1"/>
  <c r="G119" i="1"/>
  <c r="D120" i="1"/>
  <c r="G120" i="1"/>
  <c r="D121" i="1"/>
  <c r="G121" i="1"/>
  <c r="D122" i="1"/>
  <c r="G122" i="1"/>
  <c r="D123" i="1"/>
  <c r="G123" i="1"/>
  <c r="D124" i="1"/>
  <c r="G124" i="1"/>
  <c r="D125" i="1"/>
  <c r="G125" i="1"/>
  <c r="D126" i="1"/>
  <c r="G126" i="1"/>
  <c r="D127" i="1"/>
  <c r="G127" i="1"/>
  <c r="D128" i="1"/>
  <c r="G128" i="1"/>
  <c r="D129" i="1"/>
  <c r="G129" i="1"/>
  <c r="D130" i="1"/>
  <c r="G130" i="1"/>
  <c r="D131" i="1"/>
  <c r="G131" i="1"/>
  <c r="D132" i="1"/>
  <c r="G132" i="1"/>
  <c r="D133" i="1"/>
  <c r="G133" i="1"/>
  <c r="D134" i="1"/>
  <c r="G134" i="1"/>
  <c r="D135" i="1"/>
  <c r="G135" i="1"/>
  <c r="D136" i="1"/>
  <c r="G136" i="1"/>
  <c r="D137" i="1"/>
  <c r="G137" i="1"/>
  <c r="D138" i="1"/>
  <c r="G138" i="1"/>
  <c r="D139" i="1"/>
  <c r="G139" i="1"/>
  <c r="D140" i="1"/>
  <c r="G140" i="1"/>
  <c r="D141" i="1"/>
  <c r="G141" i="1"/>
  <c r="D142" i="1"/>
  <c r="G142" i="1"/>
  <c r="D143" i="1"/>
  <c r="G143" i="1"/>
  <c r="D144" i="1"/>
  <c r="G144" i="1"/>
  <c r="D145" i="1"/>
  <c r="G145" i="1"/>
  <c r="D146" i="1"/>
  <c r="G146" i="1"/>
  <c r="D147" i="1"/>
  <c r="G147" i="1"/>
  <c r="D148" i="1"/>
  <c r="G148" i="1"/>
  <c r="D149" i="1"/>
  <c r="G149" i="1"/>
  <c r="D150" i="1"/>
  <c r="G150" i="1"/>
  <c r="D151" i="1"/>
  <c r="G151" i="1"/>
  <c r="D152" i="1"/>
  <c r="G152" i="1"/>
  <c r="D153" i="1"/>
  <c r="G153" i="1"/>
  <c r="D154" i="1"/>
  <c r="G154" i="1"/>
  <c r="D155" i="1"/>
  <c r="G155" i="1"/>
  <c r="D156" i="1"/>
  <c r="G156" i="1"/>
  <c r="D157" i="1"/>
  <c r="G157" i="1"/>
  <c r="D158" i="1"/>
  <c r="G158" i="1"/>
  <c r="D159" i="1"/>
  <c r="G159" i="1"/>
  <c r="D160" i="1"/>
  <c r="G160" i="1"/>
  <c r="D161" i="1"/>
  <c r="G161" i="1"/>
  <c r="D162" i="1"/>
  <c r="G162" i="1"/>
  <c r="D163" i="1"/>
  <c r="G163" i="1"/>
  <c r="D164" i="1"/>
  <c r="G164" i="1"/>
  <c r="D165" i="1"/>
  <c r="G165" i="1"/>
  <c r="D166" i="1"/>
  <c r="G166" i="1"/>
  <c r="D167" i="1"/>
  <c r="G167" i="1"/>
  <c r="D168" i="1"/>
  <c r="G168" i="1"/>
  <c r="D169" i="1"/>
  <c r="G169" i="1"/>
  <c r="D170" i="1"/>
  <c r="G170" i="1"/>
  <c r="D171" i="1"/>
  <c r="G171" i="1"/>
  <c r="D172" i="1"/>
  <c r="G172" i="1"/>
  <c r="D173" i="1"/>
  <c r="G173" i="1"/>
  <c r="D174" i="1"/>
  <c r="G174" i="1"/>
  <c r="D175" i="1"/>
  <c r="G175" i="1"/>
  <c r="D176" i="1"/>
  <c r="G176" i="1"/>
  <c r="D177" i="1"/>
  <c r="G177" i="1"/>
  <c r="D178" i="1"/>
  <c r="G178" i="1"/>
  <c r="D179" i="1"/>
  <c r="G179" i="1"/>
  <c r="D180" i="1"/>
  <c r="G180" i="1"/>
  <c r="D181" i="1"/>
  <c r="G181" i="1"/>
  <c r="D182" i="1"/>
  <c r="G182" i="1"/>
  <c r="D184" i="1"/>
  <c r="G184" i="1"/>
  <c r="D185" i="1"/>
  <c r="G185" i="1"/>
  <c r="D186" i="1"/>
  <c r="G186" i="1"/>
  <c r="D187" i="1"/>
  <c r="G187" i="1"/>
  <c r="D188" i="1"/>
  <c r="G188" i="1"/>
  <c r="D189" i="1"/>
  <c r="G189" i="1"/>
  <c r="D190" i="1"/>
  <c r="G190" i="1"/>
  <c r="D191" i="1"/>
  <c r="G191" i="1"/>
  <c r="D192" i="1"/>
  <c r="G192" i="1"/>
  <c r="D193" i="1"/>
  <c r="G193" i="1"/>
  <c r="D194" i="1"/>
  <c r="G194" i="1"/>
  <c r="D195" i="1"/>
  <c r="G195" i="1"/>
  <c r="D196" i="1"/>
  <c r="G196" i="1"/>
  <c r="D197" i="1"/>
  <c r="G197" i="1"/>
  <c r="D198" i="1"/>
  <c r="G198" i="1"/>
  <c r="D199" i="1"/>
  <c r="G199" i="1"/>
  <c r="D200" i="1"/>
  <c r="G200" i="1"/>
  <c r="D201" i="1"/>
  <c r="G201" i="1"/>
  <c r="D202" i="1"/>
  <c r="G202" i="1"/>
  <c r="D203" i="1"/>
  <c r="G203" i="1"/>
  <c r="D204" i="1"/>
  <c r="G204" i="1"/>
  <c r="D205" i="1"/>
  <c r="G205" i="1"/>
  <c r="D206" i="1"/>
  <c r="G206" i="1"/>
  <c r="D207" i="1"/>
  <c r="G207" i="1"/>
  <c r="D208" i="1"/>
  <c r="G208" i="1"/>
  <c r="D209" i="1"/>
  <c r="G209" i="1"/>
  <c r="D210" i="1"/>
  <c r="G210" i="1"/>
  <c r="D211" i="1"/>
  <c r="G211" i="1"/>
  <c r="D212" i="1"/>
  <c r="G212" i="1"/>
  <c r="D213" i="1"/>
  <c r="G213" i="1"/>
  <c r="D214" i="1"/>
  <c r="G214" i="1"/>
  <c r="D215" i="1"/>
  <c r="G215" i="1"/>
  <c r="D216" i="1"/>
  <c r="G216" i="1"/>
  <c r="D217" i="1"/>
  <c r="G217" i="1"/>
  <c r="D218" i="1"/>
  <c r="G218" i="1"/>
  <c r="D219" i="1"/>
  <c r="G219" i="1"/>
  <c r="D220" i="1"/>
  <c r="G220" i="1"/>
  <c r="D221" i="1"/>
  <c r="G221" i="1"/>
  <c r="D222" i="1"/>
  <c r="G222" i="1"/>
  <c r="D223" i="1"/>
  <c r="G223" i="1"/>
  <c r="D224" i="1"/>
  <c r="G224" i="1"/>
  <c r="D225" i="1"/>
  <c r="G225" i="1"/>
  <c r="D226" i="1"/>
  <c r="G226" i="1"/>
  <c r="D227" i="1"/>
  <c r="G227" i="1"/>
  <c r="D228" i="1"/>
  <c r="G228" i="1"/>
  <c r="D229" i="1"/>
  <c r="G229" i="1"/>
  <c r="D230" i="1"/>
  <c r="G230" i="1"/>
  <c r="D231" i="1"/>
  <c r="G231" i="1"/>
  <c r="D232" i="1"/>
  <c r="G232" i="1"/>
  <c r="D233" i="1"/>
  <c r="G233" i="1"/>
  <c r="D234" i="1"/>
  <c r="G234" i="1"/>
  <c r="D235" i="1"/>
  <c r="G235" i="1"/>
  <c r="D236" i="1"/>
  <c r="G236" i="1"/>
  <c r="D237" i="1"/>
  <c r="G237" i="1"/>
  <c r="D238" i="1"/>
  <c r="G238" i="1"/>
  <c r="D239" i="1"/>
  <c r="G239" i="1"/>
  <c r="D240" i="1"/>
  <c r="G240" i="1"/>
  <c r="D241" i="1"/>
  <c r="G241" i="1"/>
  <c r="D242" i="1"/>
  <c r="G242" i="1"/>
  <c r="D243" i="1"/>
  <c r="G243" i="1"/>
  <c r="D244" i="1"/>
  <c r="G244" i="1"/>
  <c r="D245" i="1"/>
  <c r="G245" i="1"/>
  <c r="D246" i="1"/>
  <c r="G246" i="1"/>
  <c r="D247" i="1"/>
  <c r="G247" i="1"/>
  <c r="D248" i="1"/>
  <c r="G248" i="1"/>
  <c r="D249" i="1"/>
  <c r="G249" i="1"/>
  <c r="D250" i="1"/>
  <c r="G250" i="1"/>
  <c r="D251" i="1"/>
  <c r="G251" i="1"/>
  <c r="D252" i="1"/>
  <c r="G252" i="1"/>
  <c r="D253" i="1"/>
  <c r="G253" i="1"/>
  <c r="D254" i="1"/>
  <c r="G254" i="1"/>
  <c r="D255" i="1"/>
  <c r="G255" i="1"/>
  <c r="D256" i="1"/>
  <c r="G256" i="1"/>
  <c r="D257" i="1"/>
  <c r="G257" i="1"/>
  <c r="D258" i="1"/>
  <c r="G258" i="1"/>
  <c r="D259" i="1"/>
  <c r="G259" i="1"/>
  <c r="D260" i="1"/>
  <c r="G260" i="1"/>
  <c r="D261" i="1"/>
  <c r="G261" i="1"/>
  <c r="D262" i="1"/>
  <c r="G262" i="1"/>
  <c r="D263" i="1"/>
  <c r="G263" i="1"/>
  <c r="D264" i="1"/>
  <c r="G264" i="1"/>
  <c r="D265" i="1"/>
  <c r="G265" i="1"/>
  <c r="D266" i="1"/>
  <c r="G266" i="1"/>
  <c r="D267" i="1"/>
  <c r="G267" i="1"/>
  <c r="D268" i="1"/>
  <c r="G268" i="1"/>
  <c r="D269" i="1"/>
  <c r="G269" i="1"/>
</calcChain>
</file>

<file path=xl/sharedStrings.xml><?xml version="1.0" encoding="utf-8"?>
<sst xmlns="http://schemas.openxmlformats.org/spreadsheetml/2006/main" count="8777" uniqueCount="7026">
  <si>
    <t>Business Name</t>
  </si>
  <si>
    <t>Business ID</t>
  </si>
  <si>
    <t>Address</t>
  </si>
  <si>
    <t>Postal</t>
  </si>
  <si>
    <t>City</t>
  </si>
  <si>
    <t>Website</t>
  </si>
  <si>
    <t>Registration Year</t>
  </si>
  <si>
    <t>Vainu Custom Industry</t>
  </si>
  <si>
    <t>Link to Vainu</t>
  </si>
  <si>
    <t>Technologies</t>
  </si>
  <si>
    <t>Languages</t>
  </si>
  <si>
    <t>ACTIMO ApS</t>
  </si>
  <si>
    <t>DK32932770</t>
  </si>
  <si>
    <t>Fruebjergvej 3</t>
  </si>
  <si>
    <t>KØBENHAVN Ø</t>
  </si>
  <si>
    <t>https://actimo.com/</t>
  </si>
  <si>
    <t>Software,Gamification,Employee Engagement,Audio,B2B,Training,Mobile,SaaS,Sales,Productivity Tools,Enterprise Software,Virtual Workforce,Video Chat,Human Resources,Skill Assessment,Apps,Video,Information Technology,Enterprise,Management Information Systems</t>
  </si>
  <si>
    <t>https://app.vainu.io/vainu/prospect/6679312/</t>
  </si>
  <si>
    <t>Global Site Tag, PHP, Vkontakte, Underscore.js 1.8, Workable, Font awesome, Linkedin Analytics / Advertisement Pixel, React, TLS v1.2, Google analytics, Website, SSL/TLS, Jquery, Tumblr, Swiper Slider, Pardot, WP Engine, Elementor, Wistia, Atlassian Domain Verification, Underscore.js, UNPKG, Cloudflare, Tab Icon, Wordpress, jQuery Migrate, Google tag manager, Flash, Html5, Linkedin Data Partner, Pinterest, Linkedin Insight Tag, Intercom Articles, Fastly, Google font api, Lightbox, Nginx, Salesforce marketing cloud, Facebook Share Button Plugin, Youtube Embed, Whatsapp Website Icon, Form Html Element, Vimeo, Mysql, Youtube, Google Plus, _("Responsive"), Google Site Verification, Atlassian Statuspage, Intercom, Smartlook, _("Online_Store"), Gmail, Recaptcha, Linkedin, Active Campaign, Javascript, Facebook</t>
  </si>
  <si>
    <t>En</t>
  </si>
  <si>
    <t>ACTIONPLANNER A/S</t>
  </si>
  <si>
    <t>DK35388931</t>
  </si>
  <si>
    <t>Diplomvej 381</t>
  </si>
  <si>
    <t>KONGENS LYNGBY</t>
  </si>
  <si>
    <t>www.actionplanner.com</t>
  </si>
  <si>
    <t>Software,Information Technology,Enterprise Software,SaaS,Enterprise,Consulting,Business Information Systems,Management Information Systems</t>
  </si>
  <si>
    <t>https://app.vainu.io/vainu/prospect/6696239/</t>
  </si>
  <si>
    <t>Global Site Tag, PHP, Apache 2.4, Vkontakte, Ubuntu, Site24X7 Analytics, Gravatar, TLS v1.2, Google analytics, Website, Chechen, SSL/TLS, Jquery, Twitter, Revslider, Afrikaans, Adobe Typekit, Yoast SEO, Wordpress, Tab Icon, Google tag manager, Yoast SEO 16.3, Postmark, TLS v1.0, Slack, Google font api, animate.css, ActiveCampaign, Facebook Share Button Plugin, Javascript, Form Html Element, Vimeo, Mysql, Google Plus, _("Responsive"), Google Site Verification, WordPress 5, Zendesk, Italian, Fur, Hubspot Analytics, Apache, Gmail, Recaptcha, Contact Form 7 Wordpress Plugin, Hubspot, Hubspot Forms, Revslider 5.4, Linkedin, Active Campaign, Hubspot Ads Pixel, Facebook, TLS v1.1</t>
  </si>
  <si>
    <t>En, Da</t>
  </si>
  <si>
    <t>ACUBIZ A/S</t>
  </si>
  <si>
    <t>DK20950587</t>
  </si>
  <si>
    <t>Bregnerødvej 133, 1.</t>
  </si>
  <si>
    <t>BIRKERØD</t>
  </si>
  <si>
    <t>https://www.acubiz.dk</t>
  </si>
  <si>
    <t>Software,FinTech,Accounting,Finance,Information Technology,SaaS,Financial Services</t>
  </si>
  <si>
    <t>https://app.vainu.io/vainu/prospect/6573501/</t>
  </si>
  <si>
    <t>PHP, Apache 2.4, MasterCard, Eurocard, Linkedin Analytics / Advertisement Pixel, Instagram, OptinMonster, TLS v1.2, Font awesome, Slick, Website, SSL/TLS, Jquery, Twitter, Wp rocket, Instafeed, Elementor, Office 365, Leadfeeder, Yoast SEO, Wordpress, Tab Icon, jQuery Migrate, Autopilot, Google tag manager, Google play, TLS v1.0, Linkedin Data Partner, Linkedin Insight Tag, American Express, Google font api, Facebook pixel, Cookiebot, Youtube Embed, Form Html Element, Vimeo, Yoast SEO 17.1, Mysql, Youtube, _("Responsive"), Google Site Verification, WordPress 5, Apache, Recaptcha, Linkedin, Javascript, Facebook, TLS v1.1</t>
  </si>
  <si>
    <t>Sv, En, Da, De, Fi</t>
  </si>
  <si>
    <t>AGILLIC A/S</t>
  </si>
  <si>
    <t>DK25063864</t>
  </si>
  <si>
    <t>Masnedøgade 22, 2.</t>
  </si>
  <si>
    <t>www.agillic.com</t>
  </si>
  <si>
    <t>Mobile Advertising,Software,Semantic Web,Customer Engagement,Marketing Automation,Analytics,Personalization,Digital Marketing,Customer Experience,Real Time,Social CRM,SaaS,Email Marketing,Advertising,Artificial Intelligence,B2C,Information Technology,Marketing,Customer Service</t>
  </si>
  <si>
    <t>https://app.vainu.io/vainu/prospect/6805835/</t>
  </si>
  <si>
    <t>PHP, Teamtailor, Ziggeo, TLS v1.2, Google analytics, Website, section.io, SSL/TLS, Jquery, Twitter, Wp rocket, WP Engine, Fontfaceobserver, Elementor, Office 365, Google maps, Yoast SEO, Wordpress, Varnish, jQuery Migrate, Google tag manager, Ruby, TLS v1.0, Slack, Heroku, Facebook Like Button Plugin, Google font api, Nginx, Yoast SEO 17.2, Facebook Share Button Plugin, Form Html Element, Vimeo, Mysql, Linkedin, _("Responsive"), Google Site Verification, Zendesk, Agile CRM, Rackcache, Gmail, Recaptcha, Contact Form 7 Wordpress Plugin, Youtube Embed, Vue.js, Javascript, Facebook, TLS v1.1</t>
  </si>
  <si>
    <t>AKRON ApS</t>
  </si>
  <si>
    <t>DK36546840</t>
  </si>
  <si>
    <t>c/o Andy  Beare  Kultorvet 11, 2. th.</t>
  </si>
  <si>
    <t>KØBENHAVN K</t>
  </si>
  <si>
    <t>www.manuscriptmanager.com</t>
  </si>
  <si>
    <t>Content,Software,Education,Publishing,SaaS,Knowledge Management</t>
  </si>
  <si>
    <t>https://app.vainu.io/vainu/prospect/6899859/</t>
  </si>
  <si>
    <t>PHP, Font awesome, Gravatar, Website, Yoast SEO 16.0, Jquery, Twitter, Plesk, Yoast SEO, Wordpress, Divi 4.9, Tab Icon, jQuery Migrate, Google tag manager, WordPress 5.7, Slack, Google pagespeed, GoToWebinar, Google font api, Hubspot CMS, Nginx, Javascript, Google PageSpeed 1.13, Form Html Element, Vimeo, Flickr, Mysql, Youtube, Linkedin, Google Plus, Hubspot Live Chat, _("Responsive"), Divi, Google Site Verification, WordPress 5, Hubspot Leadflows, Hubspot Analytics, Gmail, Hubspot, Hubspot Forms, Youtube Embed, Active Campaign, Hubspot Ads Pixel, Facebook</t>
  </si>
  <si>
    <t>APVKVIK ApS</t>
  </si>
  <si>
    <t>DK30244672</t>
  </si>
  <si>
    <t>Kanonbådsvej 4A</t>
  </si>
  <si>
    <t>www.apvkvik.dk</t>
  </si>
  <si>
    <t>Enterprise Software,Information Technology,SaaS,Software</t>
  </si>
  <si>
    <t>https://app.vainu.io/vainu/prospect/6692531/</t>
  </si>
  <si>
    <t>Global Site Tag, Nginx 1.17, Google adwords, PHP, Google Shopping, Bootstrap, Doubleclick, Font awesome, Linkedin Analytics / Advertisement Pixel, Intranet, TLS v1.2, Google analytics, Website, Mailchimp, SSL/TLS, Jquery, Drupal 7, Office 365, Google maps, Select2, Drupal, Tab Icon, Google tag manager, Google Conversion, MailJet, TLS v1.0, Glyphicons, Linkedin Data Partner, Linkedin Insight Tag, Freshsales CRM, Google font api, Nginx, Cookiebot, Google remarketing, Microsoft azure, Form Html Element, Youtube, Linkedin, _("Responsive"), Google Site Verification, Blog, GSAP, Gmail, Recaptcha, Youtube Embed, Javascript, Facebook, TLS v1.1</t>
  </si>
  <si>
    <t>APX10 A/S</t>
  </si>
  <si>
    <t>DK40112456</t>
  </si>
  <si>
    <t>Ny Banegårdsgade 55, 4.</t>
  </si>
  <si>
    <t>AARHUS C</t>
  </si>
  <si>
    <t>www.apx10.com</t>
  </si>
  <si>
    <t>Artificial Intelligence,Predictive Analytics,Software,Information Technology,Real Time,Asset Management,SaaS,Management Information Systems,Data Visualization,Big Data,Data Integration,Data Management,Analytics,Machine Learning</t>
  </si>
  <si>
    <t>https://app.vainu.io/vainu/prospect/1529698495/</t>
  </si>
  <si>
    <t>Global Site Tag, PHP, TLS v1.2, Google analytics, Website, Microsoft IIS, Office365 email, SSL/TLS, Jquery, Microsoft IIS 10.0, Twitter, Outlook, Flash video, Microsoft asp.net, Microsoft exchange, Underscore.js, Cloudflare, Yoast SEO, Wordpress, Google tag manager, Yoast SEO 15.9, Flash, TLS v1.0, Modernizr, Google font api, Snap.svg, Hubspot Email, Nginx, Cookiebot, Mailgun, Microsoft azure, Form Html Element, Vimeo, English, Mysql, Flickr, Linkedin, Youtube, _("Responsive"), Backbone.js, Hubspot, Gravity Forms, Choices, Youtube Embed, Javascript, Facebook, TLS v1.1</t>
  </si>
  <si>
    <t>AQOOLA A/S</t>
  </si>
  <si>
    <t>DK32073506</t>
  </si>
  <si>
    <t>Agern Alle 5A</t>
  </si>
  <si>
    <t>HØRSHOLM</t>
  </si>
  <si>
    <t>www.aqoola.com</t>
  </si>
  <si>
    <t>SaaS,Software</t>
  </si>
  <si>
    <t>https://app.vainu.io/vainu/prospect/6706213/</t>
  </si>
  <si>
    <t>PHP, Bootstrap, Font awesome, Website, Slick, Office365 email, Jquery, Outlook, Microsoft exchange, Amazon CloudFront, Cloudflare, Tab Icon, jQuery Migrate, GoToWebinar, Google font api, Hubspot CMS, Hubspot Email, jQuery UI 1.11, Amazon web services, Form Html Element, Bootstrap 4.7, Vimeo, HubSpot CMS Hub, _("Responsive"), Google Site Verification, Hubspot Marketing Hub, Jquery ui, Hubspot, Hubspot Forms, Javascript</t>
  </si>
  <si>
    <t>ARPEDIO SOLUTIONS ApS</t>
  </si>
  <si>
    <t>DK34219591</t>
  </si>
  <si>
    <t>Birkedommervej 27</t>
  </si>
  <si>
    <t>KØBENHAVN NV</t>
  </si>
  <si>
    <t>www.arpedio.com</t>
  </si>
  <si>
    <t>Small and Medium Businesses,CRM,Sales Automation,B2B,Software,Information Technology,SaaS,Consulting,Sales,Sales Enablement</t>
  </si>
  <si>
    <t>https://app.vainu.io/vainu/prospect/6854510/</t>
  </si>
  <si>
    <t>PHP, Font awesome, Gravatar, TLS v1.2, Website, SSL/TLS, Jquery, Twitter, Pardot, Salesforce, Yoast SEO 16.9, Instafeed, Elementor, Yoast SEO, Wordpress, Tab Icon, jQuery Migrate, Google tag manager, Slack, Google font api, Nginx, Salesforce marketing cloud, Cookiebot, Form Html Element, Vimeo, Mysql, Youtube, _("Responsive"), Google Site Verification, Zendesk, Gmail, Openresty, Linkedin, Javascript, Facebook</t>
  </si>
  <si>
    <t>ATOBI aps</t>
  </si>
  <si>
    <t>DK35239901</t>
  </si>
  <si>
    <t>c/o Global Road Runner  Pilestræde 28, 1.</t>
  </si>
  <si>
    <t>https://atobi.io/</t>
  </si>
  <si>
    <t>Franchise,Virtual Workforce,B2C,Software,Gamification,Information Technology,Retail Technology,Product Search,Consumer,SaaS,Management Information Systems,Enterprise,Customer Service,Telecommunications,Retail,Enterprise Software</t>
  </si>
  <si>
    <t>https://app.vainu.io/vainu/prospect/6716625/</t>
  </si>
  <si>
    <t>PHP, Webflow, Intranet, TLS v1.2, Website, SSL/TLS, Jquery, Adobe Typekit, Apple Pay, Wordpress, Varnish, Google font api, Nginx, Calendly, Form Html Element, Youtube, Linkedin, _("Responsive"), Google Site Verification, TLS problem, Blog, _("Online_Store"), Gmail, Openresty, Youtube Embed, Javascript, Facebook</t>
  </si>
  <si>
    <t>Accutics ApS</t>
  </si>
  <si>
    <t>DK38404008</t>
  </si>
  <si>
    <t>Dalumvej 16</t>
  </si>
  <si>
    <t>ODENSE SV</t>
  </si>
  <si>
    <t>www.accutics.com</t>
  </si>
  <si>
    <t>Advertising,Business Intelligence,Predictive Analytics,Software,Real Time,Data Mining,SEO,SaaS,Marketing,Data Visualization,Big Data,SEM,Data Integration,Analytics,Facebook</t>
  </si>
  <si>
    <t>https://app.vainu.io/vainu/prospect/393602854/</t>
  </si>
  <si>
    <t>PHP, Nginx 1.17, Font awesome, Instagram, Gravatar, TLS v1.2, Google analytics, Slick, Office365 email, SSL/TLS, Jquery, Website, Mailchimp, Twitter, Wp rocket, Outlook, WordPress 5.8, Salesforce, Microsoft exchange, Tab Icon, Wordpress, Google tag manager, Lever, TLS v1.0, Slack, Adobe Analytics, Google font api, Nginx, Omniture, Facebook Share Button Plugin, Amazon web services, Form Html Element, Mysql, Youtube, Linkedin, _("Responsive"), Google Site Verification, WordPress 5, Blog, _("Online_Store"), Aurelia, Oxygen, Gravity Forms, Youtube Embed, Javascript, Facebook, TLS v1.1</t>
  </si>
  <si>
    <t>Adapto Technologies ApS</t>
  </si>
  <si>
    <t>DK38148869</t>
  </si>
  <si>
    <t>Alsion 2</t>
  </si>
  <si>
    <t>SØNDERBORG</t>
  </si>
  <si>
    <t>www.adapto.me</t>
  </si>
  <si>
    <t>Training,Software,Information Technology,SaaS,Management Information Systems</t>
  </si>
  <si>
    <t>https://app.vainu.io/vainu/prospect/635525915/</t>
  </si>
  <si>
    <t>PHP, Website, Google analytics, Jquery, Office 365, Element UI, Wordpress, Varnish, Google Pay, Google font api, Hubspot CMS, Hubspot Customer Feedback, Varnish 7.0, Linkedin Sign-in, Google Plus, WordPress 5, Openssl, Apache, Mod_Fcgid 2.3, Appinsights, AMP, Global Site Tag, Gravatar, TLS v1.2, Office365 email, Wp rocket, Outlook, Yoast SEO 16.9, Microsoft exchange, Cloudflare, Google tag manager, Typeform, MailJet, Pinterest, OpenSSL 1.1, Vidyard, Yoast SEO 17.2, Facebook Share Button Plugin, Vimeo, Yoast SEO 17.1, Hubspot Live Chat, HubSpot CMS Hub, _("Responsive"), Google Site Verification, Yoast SEO 17.0, Bootstrap 41d8a1a7, Hubspot Analytics, Linkedin, Facebook, TLS v1.1, Twitter, Flash video, Google maps, Unix, Yoast SEO, Tab Icon, jQuery Migrate, Slack, Mysql, Flickr, Google Sign-in, Uikit, Vue.js, Hubspot Ads Pixel, Azure Application Insights, Apache 2.4, mod_fcgid, Bootstrap, Smartyads, SSL/TLS, Flash, TLS v1.0, GoToWebinar, Form Html Element, Youtube, Hubspot Leadflows, Hubspot, Hubspot Forms, Javascript</t>
  </si>
  <si>
    <t>AdminEaze ApS</t>
  </si>
  <si>
    <t>DK39701049</t>
  </si>
  <si>
    <t>Inge Lehmanns Gade 10, 6.</t>
  </si>
  <si>
    <t>admineaze.com</t>
  </si>
  <si>
    <t>Consumer Software,Software,Information Technology,Internet,SaaS,Business Information Systems,Management Information Systems</t>
  </si>
  <si>
    <t>https://app.vainu.io/vainu/prospect/1135922267/</t>
  </si>
  <si>
    <t>Global Site Tag, Lytics, Bootstrap, Font awesome, TLS v1.2, Google analytics, Slick, Office365 email, SSL/TLS, Jquery, Website, Danish, Twitter, Outlook, Office 365, Microsoft exchange, Tab Icon, Google tag manager, Html5, Slack, Cookiebot, scrollreveal, Form Html Element, English, Linkedin, _("Responsive"), Google Site Verification, Youtube Embed, Javascript, Facebook, Bootstrap 4.1</t>
  </si>
  <si>
    <t>Adversus A/S</t>
  </si>
  <si>
    <t>DK37831247</t>
  </si>
  <si>
    <t>Karupvej 2D, 3. tv.</t>
  </si>
  <si>
    <t>https://adversus.io</t>
  </si>
  <si>
    <t>Small and Medium Businesses,CRM,Software,Contact Management,Social CRM,Customer Service,SaaS,Sales,Management Information Systems</t>
  </si>
  <si>
    <t>https://app.vainu.io/vainu/prospect/611380252/</t>
  </si>
  <si>
    <t>PHP, Webflow, Ubuntu, Bootstrap, React, Instagram, TLS v1.2, Google analytics, Website, section.io, SSL/TLS, Jquery, Danish, Twitter, Pardot, Amazon CloudFront, Cloudflare, Nice Incontact Chat, Tab Icon, Varnish, jQuery Migrate, Google tag manager, Html5, ReDoc, Nginx 1.10, French, Heroku, GoToWebinar, Google font api, Hubspot CMS, Drift Chat, Nginx, Zendesk Chat, New relic, Salesforce marketing cloud, Sentry, Amazon web services, jsDelivr, Form Html Element, Vimeo, English, Linkedin Sign-in, Linkedin, HubSpot CMS Hub, _("Responsive"), Google Site Verification, Sentry 5.15, Zendesk, Hubspot Marketing Hub, Gmail, Recaptcha, Trustpilot, Hubspot, Hubspot Forms, Openresty, Youtube Embed, Javascript, Facebook, AMP</t>
  </si>
  <si>
    <t>En, Fr, Da</t>
  </si>
  <si>
    <t>AeroGuest ApS</t>
  </si>
  <si>
    <t>DK37348724</t>
  </si>
  <si>
    <t>Klostergade 28, 4.</t>
  </si>
  <si>
    <t>https://aeroguest.com</t>
  </si>
  <si>
    <t>Internet of Things,B2C,Software,Information Technology,Software Engineering,Mobile,SaaS,Hospitality,Travel</t>
  </si>
  <si>
    <t>https://app.vainu.io/vainu/prospect/639892983/</t>
  </si>
  <si>
    <t>Facebook Domain Verification, Webflow, MasterCard, TLS v1.2, Website, SSL/TLS, Jquery, Adobe Typekit, Office 365, Booking Widget (All), Ideal, Cloudflare, Tab Icon, Google tag manager, Varnish, Google play, Slack, GoToWebinar, Google font api, Hubspot CMS, Nginx, Javascript, Form Html Element, Leadforensics, Youtube, Linkedin, _("Responsive"), Extranet, Blog, _("Online_Store"), Gmail, Hubspot, Hubspot Forms, Openresty, Youtube Embed, Nginx 1.18, Facebook</t>
  </si>
  <si>
    <t>Alertdesk ApS</t>
  </si>
  <si>
    <t>DK38786083</t>
  </si>
  <si>
    <t>Sofiendalsvej 87, 1.</t>
  </si>
  <si>
    <t>AALBORG SV</t>
  </si>
  <si>
    <t>www.alertdesk.com</t>
  </si>
  <si>
    <t>Software,Information Technology,Internet,SaaS,Analytics</t>
  </si>
  <si>
    <t>https://app.vainu.io/vainu/prospect/639704941/</t>
  </si>
  <si>
    <t>PHP, Google adwords, Bootstrap, MasterCard, Doubleclick, Instagram, Gravatar, TLS v1.2, Google analytics, Website, Office365 email, SSL/TLS, Jquery, Amazon SES, Mailchimp, Twitter, OneTrust, Liadm, Wp rocket, Outlook, Adobe Typekit, Microsoft exchange, Amazon CloudFront, Bouncex, Yoast SEO, Wordpress, Outbrain, Tab Icon, Cookielaw, Html5, jQuery Migrate, Google tag manager, Taboola, TLS v1.0, Google play, Hotjar, Slack, Yoast SEO 15.9, Pinterest, Optanon Cookie Consent, wpBakery, Thetradedesk / Adbrain, Elfsight, BunnyCDN-AMS, AmazonS, Google font api, Lightbox, lodash, Netlify, Facebook Share Button Plugin, Youtube Embed, Amazon web services, Form Html Element, Mysql, Youtube, _("Responsive"), Google Site Verification, WordPress 5, Blog, Contact Form 7 Wordpress Plugin, Linkedin, Active Campaign, Javascript, Facebook, TLS v1.1</t>
  </si>
  <si>
    <t>ArchitectureQuote IVS</t>
  </si>
  <si>
    <t>DK40026614</t>
  </si>
  <si>
    <t>Havneholmen 70, 2. th.</t>
  </si>
  <si>
    <t>KØBENHAVN V</t>
  </si>
  <si>
    <t>https://architecturequote.com</t>
  </si>
  <si>
    <t>Software,Interior Design,Internet,SaaS,Collaboration,Architecture</t>
  </si>
  <si>
    <t>https://app.vainu.io/vainu/prospect/1529624222/</t>
  </si>
  <si>
    <t>Global Site Tag, PHP, Doubleclick, Instagram, Gravatar, TLS v1.2, Google analytics, Website, Force.com, SSL/TLS, Jquery, Amplitude, Twitter, Wordpress super cache, Amazon CloudFront, Divi 4.7, Yoast SEO, Wordpress, Tab Icon, jQuery Migrate, Google tag manager, Html5, Yoast SEO 16.3, WordPress 5.7, Slack, Pinterest, MailerLite, Stripe Online Payments, AmazonS, Google font api, Facebook pixel, New relic, Facebook Share Button Plugin, Youtube Embed, Amazon web services, Form Html Element, Mysql, Flickr, Youtube, Google Plus, _("Responsive"), Google Site Verification, Divi, WordPress 5, Apache, Gmail, Simplyhired, Linkedin, Javascript, Facebook, TLS v1.1</t>
  </si>
  <si>
    <t>Aspectu IVS</t>
  </si>
  <si>
    <t>DK39540304</t>
  </si>
  <si>
    <t>Finsensvej 11A, 4. th.</t>
  </si>
  <si>
    <t>FREDERIKSBERG</t>
  </si>
  <si>
    <t>aspectu.eu</t>
  </si>
  <si>
    <t>Business Intelligence,Software,Information Services,Information Technology,Contract Management,Analytics,SaaS,Business Information Systems,Management Information Systems</t>
  </si>
  <si>
    <t>https://app.vainu.io/vainu/prospect/1043466294/</t>
  </si>
  <si>
    <t>PHP, Polish, Vkontakte, Bootstrap, Font awesome, Force.com, Website, Google analytics, Danish, Jquery, Tumblr, Twitter, Swiper Slider, Dutch, Elementor, Elementor 2.9, Yoast SEO, Wordpress, Tab Icon, jQuery Migrate, Flash, Html5, Nginx 1.13, Google tag manager, Modernizr, Slack, German, Greek, Irish, Stripe Online Payments, GoToWebinar, Czech, Facebook Like Button Plugin, Google font api, Hubspot CMS, Nginx, Swedish, Finnish, Youtube Embed, D3, Form Html Element, Stripe, Whatsapp Website Icon, Mysql, Flickr, Zoho Salesiq Chat, Google Plus, Maltese, Vimeo, _("Responsive"), Google Site Verification, English, TLS problem, Monsterinsights, Hungarian, Italian, Blog, Apache, Spanish, Jquery ui, Hubspot, Hubspot Forms, Yoast SEO 14.1, Zoho Crm, Linkedin, Javascript, Facebook</t>
  </si>
  <si>
    <t>AutoCRM ApS</t>
  </si>
  <si>
    <t>DK40569820</t>
  </si>
  <si>
    <t>Prøvensvej 25</t>
  </si>
  <si>
    <t>RØDOVRE</t>
  </si>
  <si>
    <t>www.autocrm.dk</t>
  </si>
  <si>
    <t>Small and Medium Businesses,CRM,Software,Automotive,Information Technology,SaaS,Business Information Systems</t>
  </si>
  <si>
    <t>https://app.vainu.io/vainu/prospect/1639701400/</t>
  </si>
  <si>
    <t>PHP, Vkontakte, Font awesome, TLS v1.2, Website, Slick, Office365 email, SSL/TLS, Jquery, Campaign Monitor, Outlook, Revslider, Office 365, Microsoft exchange, Revslider 6.1, Yoast SEO, Wordpress, Tab Icon, Google tag manager, TLS v1.0, Google font api, Nginx, animate.css, Facebook Share Button Plugin, Whatsapp Website Icon, Form Html Element, Vimeo, Yoast SEO 17.1, Mysql, Youtube, Linkedin, _("Responsive"), Youtube Embed, Javascript, Facebook, TLS v1.1</t>
  </si>
  <si>
    <t>Sv, En, Da</t>
  </si>
  <si>
    <t>BMoreRaw ApS</t>
  </si>
  <si>
    <t>DK41604018</t>
  </si>
  <si>
    <t>Segaltvej 451</t>
  </si>
  <si>
    <t>SKØDSTRUP</t>
  </si>
  <si>
    <t>bmoreraw.com</t>
  </si>
  <si>
    <t>Small and Medium Businesses,B2B,B2C,Software,Lead Generation,Product Management,Information Technology,Product Search,SaaS,Analytics,Market Research</t>
  </si>
  <si>
    <t>https://app.vainu.io/vainu/prospect/2189738917/</t>
  </si>
  <si>
    <t>Global Site Tag, Bootstrap, MasterCard, Ubuntu, TLS v1.2, Google analytics, Website, SSL/TLS, Jquery, Danish, Twitter, Dutch, Nginx 1.14, Google maps, Tab Icon, Google tag manager, Html5, Bootstrap 8, Hotjar, Slack, German, American Express, Klaviyo Marketing, French, Node.js, Google font api, Lightbox, Facebook pixel, Nginx, Popper, Popper 1.12, Express, Amazon web services, Form Html Element, Vimeo, English, Bootstrap 4.0, Youtube, Linkedin, _("Responsive"), Google Site Verification, Rollbar, Klaviyo, Intercom, OWL Carousel, Gmail, Youtube Embed, Active Campaign, Javascript, Facebook</t>
  </si>
  <si>
    <t>En, Da, De, Nl, Fr, Es</t>
  </si>
  <si>
    <t>BetterBoard ApS</t>
  </si>
  <si>
    <t>DK38406140</t>
  </si>
  <si>
    <t>Toldbodgade 10, 3.</t>
  </si>
  <si>
    <t>KOLDING</t>
  </si>
  <si>
    <t>www.betterboard.dk</t>
  </si>
  <si>
    <t>Collaboration,Information Technology,SaaS,Software</t>
  </si>
  <si>
    <t>https://app.vainu.io/vainu/prospect/393502511/</t>
  </si>
  <si>
    <t>Purechat, PHP, Bootstrap 3.3, Bootstrap, Font awesome, Website, Google analytics, Office365 email, Microsoft IIS, Jquery, SSL/TLS, Microsoft IIS 10.0, Twitter, Litespeed, Outlook, Office 365, Microsoft exchange, jQuery-pjax, Yoast SEO, Wordpress, Tab Icon, jQuery Migrate, Flash, Html5, Google tag manager, TLS v1.0, Slack, Pinterest, Google Pay, wpBakery, Facebook Like Button Plugin, Google font api, Calendly, Facebook Share Button Plugin, Youtube Embed, webCRM, Form Html Element, Bootstrap 4.7, Vimeo, Yoast SEO 17.1, Mysql, Youtube, Google Plus, _("Responsive"), Google Site Verification, WordPress 5, Recaptcha, Gravity Forms, Linkedin, Javascript, Facebook</t>
  </si>
  <si>
    <t>Da</t>
  </si>
  <si>
    <t>Bmyguest ApS</t>
  </si>
  <si>
    <t>DK41415657</t>
  </si>
  <si>
    <t>Herredsvejen 2</t>
  </si>
  <si>
    <t>HILLERØD</t>
  </si>
  <si>
    <t>bmyguest.dk</t>
  </si>
  <si>
    <t>Software,Information Technology,Digital Signage,Mobile,SaaS,Mobile Payments</t>
  </si>
  <si>
    <t>https://app.vainu.io/vainu/prospect/2165461510/</t>
  </si>
  <si>
    <t>Global Site Tag, PHP, Bootstrap, TLS v1.2, Google analytics, Website, Microsoft IIS 10.0, Microsoft IIS, SSL/TLS, Jquery, Twitter, Microsoft asp.net, Microsoft ASP.NET 4.0, Tab Icon, Google tag manager, Flickity, Pinterest, Google font api, New relic, Facebook Share Button Plugin, Form Html Element, Vimeo, English, _("Responsive"), Google Site Verification, Javascript, Facebook</t>
  </si>
  <si>
    <t>Boardplace A/S</t>
  </si>
  <si>
    <t>DK39267292</t>
  </si>
  <si>
    <t>c/o CREY  Christian IX's Gade 10, 1.</t>
  </si>
  <si>
    <t>www.boardplace.dk</t>
  </si>
  <si>
    <t>Enterprise Software,SaaS,Software,Human Resources</t>
  </si>
  <si>
    <t>https://app.vainu.io/vainu/prospect/1136384843/</t>
  </si>
  <si>
    <t>Global Site Tag, PHP, Google adwords, Vkontakte, Underscore.js 1.8, Gravatar, TLS v1.2, Google analytics, Website, SSL/TLS, Jquery, jQuery 1.12, Adobe Typekit, Wordpress 4.9, Google maps, Underscore.js, Yoast SEO, Wordpress, Tab Icon, Yoast SEO 6.3, Google tag manager, TLS v1.0, Wordpress 4, GoToWebinar, Google font api, Hubspot CMS, animate.css, Sleeknote, Facebook Share Button Plugin, Javascript, Microsoft Word, Form Html Element, Vimeo, Mysql, Google Plus, _("Responsive"), Monsterinsights, Backbone.js, Hubspot Leadflows, TrackJS, Blog, Hubspot Analytics, Apache, Contact Form 7 Wordpress Plugin, Hubspot, Hubspot Forms, Gravity Forms, Linkedin, Hubspot Ads Pixel, Facebook, TLS v1.1</t>
  </si>
  <si>
    <t>BoligKorsør</t>
  </si>
  <si>
    <t>DK52729610</t>
  </si>
  <si>
    <t>Caspar Brands Plads 3A</t>
  </si>
  <si>
    <t>KORSØR</t>
  </si>
  <si>
    <t>www2.ibinder.com</t>
  </si>
  <si>
    <t>Facility Management,Construction,Software,Information Technology,Facilities Management,Contract Management,Project Management,SaaS,Procurement,Business Information Systems,Management Information Systems,Real Estate</t>
  </si>
  <si>
    <t>https://app.vainu.io/vainu/prospect/7263989/</t>
  </si>
  <si>
    <t>Global Site Tag, Polish, Azure Application Insights, PHP, Bootstrap, Smartyads, TLS v1.2, Google analytics, Website, Microsoft IIS, Office365 email, SSL/TLS, Jquery, Danish, Dutch, Olark, Outlook, Pardot, Flash video, Salesforce, Apsis Marketing, Microsoft asp.net, Office 365, Wistia, Microsoft exchange, Microsoft ASP.NET 4.0, Slovak, Tab Icon, Wordpress, Kestrel, Google tag manager, WordPress 5.6, Xhtml, Slack, Google font api, Nginx, Swedish, Salesforce marketing cloud, Norwegian, jQuery UI 1.11, Form Html Element, English, Mysql, _("Responsive"), Google Site Verification, WordPress 5, Jquery ui, Oxygen, Appinsights, Linkedin, Active Campaign, Javascript, Microsoft IIS 8.5</t>
  </si>
  <si>
    <t>Sv, No, En, Da, Nl, Sk, Pl</t>
  </si>
  <si>
    <t>BotSupply ApS</t>
  </si>
  <si>
    <t>DK38237519</t>
  </si>
  <si>
    <t>c/o SPACES  Ny Carlsberg Vej 80</t>
  </si>
  <si>
    <t>botsupply.ai</t>
  </si>
  <si>
    <t>Virtual Workforce,Artificial Intelligence,B2B,B2C,Software,Virtual Assistant,Natural Language Processing,Information Technology,Customer Service,SaaS,Enterprise,Intelligent Systems,Enterprise Software,Machine Learning</t>
  </si>
  <si>
    <t>https://app.vainu.io/vainu/prospect/392674013/</t>
  </si>
  <si>
    <t>Global Site Tag, PHP, Webflow, Oracle Service Cloud, Jobvite, Smartyads, TLS v1.2, Google analytics, Website, SSL/TLS, Jquery, Twitter, Adobe Typekit, Embed.Ly, Cxense, Tab Icon, Wordpress, Varnish, Google tag manager, MailJet, Slack, iubenda, Google font api, Addthis, Nginx, Form Html Element, Youtube, _("Responsive"), Google Site Verification, Glassdoor Job Search, Blog, Castle Accont Takeout Prevention, Gmail, Openresty, Linkedin, Active Campaign, Javascript, Facebook</t>
  </si>
  <si>
    <t>Butter Solutions ApS</t>
  </si>
  <si>
    <t>DK41335874</t>
  </si>
  <si>
    <t>Skelbækgade 2, 6. th.</t>
  </si>
  <si>
    <t>www.buttersolutions.com</t>
  </si>
  <si>
    <t>Small and Medium Businesses,Payments,Software,FinTech,Finance,Information Technology,SaaS,Financial Services</t>
  </si>
  <si>
    <t>https://app.vainu.io/vainu/prospect/2153202202/</t>
  </si>
  <si>
    <t>Planday, Webflow, Instagram, TLS v1.2, Website, SSL/TLS, Jquery, Adobe Typekit, Helpcrunch Chat, Varnish, Slack, GoToWebinar, Google font api, Hubspot CMS, Nginx, Form Html Element, Youtube, _("Responsive"), Google Site Verification, Gmail, Hubspot, Hubspot Forms, Openresty, Linkedin, Javascript</t>
  </si>
  <si>
    <t>Byggeprojekt.dk ApS</t>
  </si>
  <si>
    <t>DK36913053</t>
  </si>
  <si>
    <t>Sluseholmen 1</t>
  </si>
  <si>
    <t>KØBENHAVN SV</t>
  </si>
  <si>
    <t>www.byggeprojekt.dk</t>
  </si>
  <si>
    <t>Construction,Software,Information Technology,Contract Management,Project Management,SaaS,Procurement</t>
  </si>
  <si>
    <t>https://app.vainu.io/vainu/prospect/6714784/</t>
  </si>
  <si>
    <t>Global Site Tag, GitHub Pages, PHP, TLS v1.2, Google analytics, Slick, Office365 email, SSL/TLS, Jquery, Website, Ruby on rails, Twitter, Outlook, Oracle marketing cloud, Vaadin 7.7, Office 365, Microsoft exchange, Vaadin, GlassFish Server Open Source Edition, Amazon CloudFront, Cloudflare, Tab Icon, Google tag manager, Ruby, Hubspot Meetings Plugin, Slick 1.9, Hotjar, Slack, Pinterest, GoToWebinar, Google font api, Java, Hubspot CMS, Swedish, Vidyard, Facebook Share Button Plugin, Amazon web services, Form Html Element, Vimeo, English, Glassfish, Linkedin Sign-in, HubSpot CMS Hub, _("Responsive"), Google Site Verification, Blog, Hubspot Marketing Hub, Hubspot, Hubspot Sales, Hubspot Forms, Linkedin, Javascript, Facebook, AMP</t>
  </si>
  <si>
    <t>CANVAS PLANNER ApS</t>
  </si>
  <si>
    <t>DK35669795</t>
  </si>
  <si>
    <t>c/o Jane Houlind Ulsøe  Aldersrovej 34</t>
  </si>
  <si>
    <t>AARHUS N</t>
  </si>
  <si>
    <t>https://canvasplanner.com/</t>
  </si>
  <si>
    <t>Consumer Software,Software,Task Management,Information Technology,Project Management,Marketing,SaaS,Management Information Systems,Enterprise,Productivity Tools,Enterprise Software</t>
  </si>
  <si>
    <t>https://app.vainu.io/vainu/prospect/6645538/</t>
  </si>
  <si>
    <t>PHP, Planday, Bootstrap 3.3, Bootstrap, Font awesome, Instagram, Gravatar, TLS v1.2, Website, Mailchimp, Danish, SSL/TLS, Jquery, Twitter, Revslider, Bootstrap 24, Adobe Typekit, Google maps, Underscore.js, Tab Icon, Wordpress, jQuery Migrate, Google tag manager, Flash, Typeform, TLS v1.0, Slack, Pinterest, Google font api, Facebook Share Button Plugin, Youtube Embed, Form Html Element, Vimeo, English, Mysql, Flickr, Youtube, Google Plus, _("Responsive"), Google Site Verification, Underscore.js 1.13, WordPress 5, Intercom, Apache, Gmail, Handlebars, Revslider 5.4, Linkedin, Handlebars 3.0, Javascript, Facebook, TLS v1.1</t>
  </si>
  <si>
    <t>CAPANA ApS</t>
  </si>
  <si>
    <t>DK10127521</t>
  </si>
  <si>
    <t>Bådehavnsvej 15, 1. th.</t>
  </si>
  <si>
    <t>AALBORG</t>
  </si>
  <si>
    <t>capana.dk</t>
  </si>
  <si>
    <t>Business Intelligence,Software,Information Technology,Enterprise Software,Data Visualization,SaaS,Data Integration,Analytics</t>
  </si>
  <si>
    <t>https://app.vainu.io/vainu/prospect/1739224/</t>
  </si>
  <si>
    <t>PHP, Bootstrap, Font awesome, TLS v1.2, Website, Office365 email, Microsoft IIS, SSL/TLS, Jquery, Microsoft IIS 10.0, Mailchimp, Outlook, Instafeed, Office 365, Microsoft exchange, Tab Icon, Google tag manager, Marketo, Hotjar, Google font api, Hubspot Email, Sleeknote, Form Html Element, Bootstrap 4.7, Vimeo, Flickr, Youtube, Linkedin, _("Responsive"), Google Site Verification, Pipedrive, Youtube Embed, Active Campaign, Javascript</t>
  </si>
  <si>
    <t>CAPASYSTEMS A/S</t>
  </si>
  <si>
    <t>DK19189635</t>
  </si>
  <si>
    <t>Roskildevej 342C</t>
  </si>
  <si>
    <t>TAASTRUP</t>
  </si>
  <si>
    <t>https://www.capasystems.com/</t>
  </si>
  <si>
    <t>Operating Systems,Software,Information Services,Information Technology,Computer,SaaS,IT Management,Business Information Systems,Management Information Systems</t>
  </si>
  <si>
    <t>https://app.vainu.io/vainu/prospect/1754980/</t>
  </si>
  <si>
    <t>PHP, Font awesome, Linkedin Analytics / Advertisement Pixel, Divi 1631780778, TLS v1.2, Website, Office365 email, SSL/TLS, Jquery, Plesk, Wp rocket, Outlook, WordPress 5.8, Flash video, Salesforce, Office 365, Leadfeeder, Atlassian Domain Verification, Yoast SEO, Wordpress, Tab Icon, jQuery Migrate, Flash, Google tag manager, TLS v1.0, Linkedin Data Partner, Linkedin Insight Tag, Google font api, Nginx, ActiveCampaign, Sleeknote, Form Html Element, Vimeo, Flickr, Mysql, Linkedin, Youtube, _("Responsive"), Google Site Verification, Divi, WordPress 5, Yoast SEO 17.0, Youtube Embed, Active Campaign, Javascript, Facebook, TLS v1.1</t>
  </si>
  <si>
    <t>CHAININTRA ApS</t>
  </si>
  <si>
    <t>DK36553081</t>
  </si>
  <si>
    <t>Njalsgade 21F, 6.</t>
  </si>
  <si>
    <t>KØBENHAVN S</t>
  </si>
  <si>
    <t>https://ziik.io/en/</t>
  </si>
  <si>
    <t>Small and Medium Businesses,Software,Contact Management,B2B,Real Time,Social CRM,SaaS,Productivity Tools,Enterprise Software,Virtual Workforce,Messaging,Video Chat,Human Resources,Collaboration,Consumer Software,Information Technology,Social,Social Media,Enterprise,Management Information Systems</t>
  </si>
  <si>
    <t>https://app.vainu.io/vainu/prospect/6792574/</t>
  </si>
  <si>
    <t>Global Site Tag, Facebook Domain Verification, PHP, Webflow, MasterCard, Intranet, Website, Google analytics, Jquery, Amazon SES, Outlook, Adobe Typekit, Embed.Ly, Microsoft exchange, Apple App Store, Amazon CloudFront, Cloudflare, Google tag manager, Varnish, Html5, Google play, American Express, Weglot, AmazonS, GoToWebinar, Jimdo, Google font api, Hubspot CMS, Nginx, Hubspot Customer Feedback, Shopify, Amazon web services, Form Html Element, HubSpot CMS Hub, _("Responsive"), Google Site Verification, Hubspot Analytics, _("Online_Store"), Gmail, Hubspot, Sendgrid, Hubspot Forms, Openresty, Linkedin, Javascript, Facebook</t>
  </si>
  <si>
    <t>CLERK.IO ApS</t>
  </si>
  <si>
    <t>DK33952848</t>
  </si>
  <si>
    <t>Kigkurren 8G, 2.</t>
  </si>
  <si>
    <t>https://clerk.io/</t>
  </si>
  <si>
    <t>Artificial Intelligence,Personalization,B2C,Software,Retail Technology,Product Search,Internet,SaaS,E-Commerce,Analytics,Machine Learning</t>
  </si>
  <si>
    <t>https://app.vainu.io/vainu/prospect/6611032/</t>
  </si>
  <si>
    <t>Global Site Tag, PHP, Teamtailor, Font awesome, TLS v1.2, Google analytics, Website, Chart.js, SSL/TLS, Jquery, Twitter, Flash video, Wistia, Clerk, Amazon CloudFront, Cloudflare, Tab Icon, Wordpress, Google tag manager, Html5, TLS v1.0, Hotjar, AMP, Heroku, GoToWebinar, Salecycle, Fastly, Google font api, Hubspot CMS, Nginx, Digitroll, Angularjs, Hubspot Customer Feedback, Facebook Share Button Plugin, Youtube Embed, Amazon web services, Mailgun, Form Html Element, English, Youtube, HubSpot CMS Hub, _("Responsive"), Google Site Verification, SparkPost, Atlassian Statuspage, Intercom, Italian, Blog, _("Online_Store"), Hubspot Marketing Hub, Gmail, Recaptcha, Trustpilot, Hubspot, Sendgrid, Hubspot Forms, Openresty, Linkedin, Javascript, Facebook, TLS v1.1</t>
  </si>
  <si>
    <t>It, En</t>
  </si>
  <si>
    <t>COMPENT ApS</t>
  </si>
  <si>
    <t>DK29818819</t>
  </si>
  <si>
    <t>Slotsgade 2, 3. th.</t>
  </si>
  <si>
    <t>KØBENHAVN N</t>
  </si>
  <si>
    <t>compent.dk</t>
  </si>
  <si>
    <t>Software,Information Technology,Web Development,SaaS,E-Commerce,Enterprise Software</t>
  </si>
  <si>
    <t>https://app.vainu.io/vainu/prospect/6662509/</t>
  </si>
  <si>
    <t>Intranet, TLS v1.2, Google analytics, Website, SSL/TLS, Jquery, Twitter, Google maps, Tab Icon, Google tag manager, Flash, Hotjar, Form Html Element, Vimeo, Linkedin, _("Responsive"), Extranet, Youtube Embed, Javascript, Facebook</t>
  </si>
  <si>
    <t>CONFERIZE A/S</t>
  </si>
  <si>
    <t>DK34472742</t>
  </si>
  <si>
    <t>Automatikvej 1</t>
  </si>
  <si>
    <t>SØBORG</t>
  </si>
  <si>
    <t>www.conferize.com</t>
  </si>
  <si>
    <t>Software,Event Promotion,Events,SaaS,Event Management</t>
  </si>
  <si>
    <t>https://app.vainu.io/vainu/prospect/6889889/</t>
  </si>
  <si>
    <t>Global Site Tag, Facebook Domain Verification, PHP, Bootstrap, Gravatar, TLS v1.2, Google analytics, Website, Office365 email, SSL/TLS, Jquery, Mailchimp, Twitter, Outlook, WordPress 5.8, Office 365, Microsoft exchange, Underscore.js, Amazon CloudFront, Tab Icon, Wordpress, jQuery Migrate, Google tag manager, Stripe Online Payments, Intercom Articles, Node.js, Google font api, lodash, Nginx, StackPath 1.0, Express, Facebook Share Button Plugin, Amazon web services, jsDelivr, StackPath, Form Html Element, Vimeo, Mysql, Flickr, Youtube, Google Plus, _("Responsive"), Google Site Verification, WordPress 5, Rollbar, Intercom, Apache, Recaptcha, Linkedin, Javascript, Facebook</t>
  </si>
  <si>
    <t>CapDesk ApS</t>
  </si>
  <si>
    <t>DK36893621</t>
  </si>
  <si>
    <t>Nannasgade 28</t>
  </si>
  <si>
    <t>https://www.capdesk.com/</t>
  </si>
  <si>
    <t>Software,FinTech,Hedge Funds,Finance,Information Technology,SaaS,Financial Services</t>
  </si>
  <si>
    <t>https://app.vainu.io/vainu/prospect/6894925/</t>
  </si>
  <si>
    <t>Global Site Tag, PHP, Google adwords, Teamtailor, Ziggeo, MasterCard, Font awesome, Linkedin Analytics / Advertisement Pixel, Instagram, TLS v1.2, Google analytics, Slick, section.io, SSL/TLS, Jquery, Website, Twitter, Fontfaceobserver, Stimulus, Google maps, UNPKG, Amazon CloudFront, Cloudflare, Cxense, Tab Icon, Google tag manager, Varnish, Ruby, Html5, Hubspot Rss Feed, TLS v1.0, Hotjar, Linkedin Data Partner, Slack, Pinterest, Linkedin Insight Tag, AMP, Heroku, GoToWebinar, Facebook Like Button Plugin, Google font api, Addthis, Hubspot CMS, Facebook Share Button Plugin, Youtube Embed, Amazon web services, jsDelivr, Form Html Element, Vimeo, Linkedin Sign-in, HubSpot CMS Hub, _("Responsive"), Google Site Verification, Glassdoor Job Search, Blog, Rackcache, Hubspot Marketing Hub, Gmail, Hubspot, Hubspot Forms, Linkedin, Javascript, Facebook, TLS v1.1</t>
  </si>
  <si>
    <t>Captyst ApS</t>
  </si>
  <si>
    <t>DK37185698</t>
  </si>
  <si>
    <t>c/o CPH Digital ApS  Østergade 17, 2.</t>
  </si>
  <si>
    <t>https://captyst.com</t>
  </si>
  <si>
    <t>Software,Risk Management,Information Technology,Contract Management,Project Management,SaaS,Enterprise,Business Information Systems,Management Information Systems</t>
  </si>
  <si>
    <t>https://app.vainu.io/vainu/prospect/23336661/</t>
  </si>
  <si>
    <t>PHP, TLS v1.2, Google analytics, Website, Mailchimp, SSL/TLS, Jquery, Wp rocket, Google maps, Amazon CloudFront, Cloudflare, Tab Icon, Wordpress, jQuery Migrate, Html5, TLS v1.0, Slack, Pinterest, Stripe Online Payments, GoToWebinar, Google font api, Hubspot CMS, Amazon web services, jsDelivr, Form Html Element, Stripe, Vimeo, Flickr, Mysql, Linkedin, Hubspot Live Chat, Segment, _("Responsive"), Google Site Verification, WordPress 5, Hubspot Analytics, _("Online_Store"), Gmail, Hubspot, Hubspot Forms, Youtube Embed, Javascript, Facebook, TLS v1.1</t>
  </si>
  <si>
    <t>Certainly ApS</t>
  </si>
  <si>
    <t>DK38070770</t>
  </si>
  <si>
    <t>Søtorvet 5, 1. th.</t>
  </si>
  <si>
    <t>https://certainly.io/</t>
  </si>
  <si>
    <t>Artificial Intelligence,Personalization,B2C,Software,Information Technology,Product Search,SaaS,Customer Service,E-Commerce,Machine Learning</t>
  </si>
  <si>
    <t>https://app.vainu.io/vainu/prospect/793881827/</t>
  </si>
  <si>
    <t>Global Site Tag, Ipify, Smartyads, Gravatar, Google analytics, TLS v1.2, Office365 email, SSL/TLS, Jquery, Website, Twitter, Certainly, Outlook, Adobe Typekit, Microsoft exchange, Cloudflare, Tab Icon, Wordpress, Google tag manager, Amcharts, Google font api, Zendesk Chat, Microsoft azure, Form Html Element, Youtube, Linkedin, _("Responsive"), Google Site Verification, Zendesk, Smooch Conversation Platform, Blog, Youtube Embed, Javascript, Facebook</t>
  </si>
  <si>
    <t>Churchdesk ApS</t>
  </si>
  <si>
    <t>DK32150489</t>
  </si>
  <si>
    <t>Nørrebrogade 45E, 3.</t>
  </si>
  <si>
    <t>https://www.churchdesk.com/da/forside</t>
  </si>
  <si>
    <t>Consumer Software,B2C,Software,Information Technology,Contact Management,Internet,SaaS,Enterprise,Business Information Systems,Management Information Systems</t>
  </si>
  <si>
    <t>https://app.vainu.io/vainu/prospect/6677388/</t>
  </si>
  <si>
    <t>PHP, Webflow, Font awesome, React, Intranet, Help Scout, Periscope, TLS v1.2, Website, SSL/TLS, Jquery, Danish, Twitter, Embed.Ly, Atlassian Domain Verification, Apple App Store, Amazon CloudFront, Cloudflare, Mobilepay, Tab Icon, Google tag manager, Varnish, Html5, Google play, MailJet, German, AmazonS, GoToWebinar, Fastly, Facebook Like Button Plugin, Google font api, Hubspot CMS, Nginx, Semantic UI, New relic, Vidyard, Facebook Share Button Plugin, Youtube Embed, Amazon web services, Form Html Element, English, Linkedin Sign-in, Youtube, Google Plus, HubSpot CMS Hub, _("Responsive"), Google Site Verification, Atlassian Statuspage, Blog, Hubspot Analytics, Hubspot Marketing Hub, Gmail, Recaptcha, Hubspot, Hubspot Forms, Openresty, Linkedin, Javascript, Facebook, AMP</t>
  </si>
  <si>
    <t>En, Da, De</t>
  </si>
  <si>
    <t>CleanManager ApS</t>
  </si>
  <si>
    <t>DK39230992</t>
  </si>
  <si>
    <t>Holkebjergvej 74</t>
  </si>
  <si>
    <t>https://cleanmanager.dk/</t>
  </si>
  <si>
    <t>Information Technology,SaaS,Software</t>
  </si>
  <si>
    <t>https://app.vainu.io/vainu/prospect/1528265473/</t>
  </si>
  <si>
    <t>PHP, Apache 2.4, Bootstrap c4cfc81edf, Doubleclick, Bootstrap, Linkedin Analytics / Advertisement Pixel, Gravatar, TLS v1.2, Website, Mailchimp, SSL/TLS, Jquery, Apple App Store, WordPress 5.2, Yoast SEO, Wordpress, Google tag manager, Google play, Zoho Email, Xhtml, Google font api, animate.css, Zendesk Chat, Facebook Share Button Plugin, Form Html Element, jQuery UI 1.12, Mysql, Linkedin Sign-in, Youtube, Linkedin, _("Responsive"), Google Site Verification, WordPress 5, Zendesk, Apache, Jquery ui, Yoast SEO 11.8, Youtube Embed, Javascript, Facebook</t>
  </si>
  <si>
    <t>Cloudeon A/S</t>
  </si>
  <si>
    <t>DK37196169</t>
  </si>
  <si>
    <t>Vandtårnsvej 62</t>
  </si>
  <si>
    <t>KGS. LYNGBY</t>
  </si>
  <si>
    <t>cloudeon.com</t>
  </si>
  <si>
    <t>Artificial Intelligence,Software,Cloud Computing,Information Technology,Cloud Security,SaaS,Consulting,Enterprise Software</t>
  </si>
  <si>
    <t>https://app.vainu.io/vainu/prospect/6742890/</t>
  </si>
  <si>
    <t>PHP, Hammer.js, Oracle Service Cloud, Bootstrap, Workable, Font awesome, Website, Google analytics, Slick, Office365 email, Jquery, Twitter, Outlook, Microsoft exchange, Atlassian Domain Verification, Amazon CloudFront, Cloudflare, Tab Icon, Google tag manager, Html5, Modernizr, Linkedin Data Partner, Slack, Linkedin Insight Tag, GoToWebinar, Google font api, Hubspot CMS, Facebook pixel, animate.css, Cookiebot, Facebook Share Button Plugin, Amazon web services, Form Html Element, Vimeo, Linkedin Sign-in, HubSpot CMS Hub, _("Responsive"), OWL Carousel, Box, Hubspot, Hubspot Forms, Linkedin, Javascript, Facebook, AMP</t>
  </si>
  <si>
    <t>Cloudfors ApS</t>
  </si>
  <si>
    <t>DK41998660</t>
  </si>
  <si>
    <t>Vangeleddet 51E</t>
  </si>
  <si>
    <t>GREVE</t>
  </si>
  <si>
    <t>cloudfors.dk</t>
  </si>
  <si>
    <t>Internet of Things,Software,Cloud Computing,Information Technology,SaaS</t>
  </si>
  <si>
    <t>https://app.vainu.io/vainu/prospect/2300450266/</t>
  </si>
  <si>
    <t>Font awesome, TLS v1.2, Google analytics, Website, SSL/TLS, Afterpay, Stimulus, Adobe Typekit, Google maps, Tab Icon, TLS v1.0, Xhtml, Google font api, Wix, Form Html Element, Vimeo, _("Responsive"), Google Site Verification, Apache, Squarespace, Linkedin, Javascript, Facebook, TLS v1.1</t>
  </si>
  <si>
    <t>Cloudify ApS</t>
  </si>
  <si>
    <t>DK33066287</t>
  </si>
  <si>
    <t>Kornmarksvej 10</t>
  </si>
  <si>
    <t>BRØNDBY</t>
  </si>
  <si>
    <t>cloudify.biz</t>
  </si>
  <si>
    <t>Small and Medium Businesses,Enterprise Applications,Software,Application Performance Management,Cloud Computing,Information Technology,Marketing Automation,SaaS,Logistics,Enterprise,Management Information Systems,Productivity Tools,Enterprise Software</t>
  </si>
  <si>
    <t>https://app.vainu.io/vainu/prospect/21978588/</t>
  </si>
  <si>
    <t>PHP, Bootstrap, Linkedin Analytics / Advertisement Pixel, Instagram, Gravatar, TLS v1.2, Website, SSL/TLS, Jquery, Pipedrive Leadbooster, Yoast SEO, Wordpress, Tab Icon, jQuery Migrate, Html5, TLS v1.0, WordPress 5.6, Linkedin Data Partner, Hotjar, Linkedin Insight Tag, Google font api, Facebook pixel, Netlify, Facebook Share Button Plugin, Form Html Element, Mysql, _("Responsive"), Google Site Verification, WordPress 5, Pipedrive, Blog, Apache, Gmail, Contact Form 7 Wordpress Plugin, Linkedin, Yoast SEO 15.7, Javascript, Facebook, TLS v1.1</t>
  </si>
  <si>
    <t>Cludo ApS</t>
  </si>
  <si>
    <t>DK36726849</t>
  </si>
  <si>
    <t>Frederikskaj 4, 1.</t>
  </si>
  <si>
    <t>https://www.cludo.com/</t>
  </si>
  <si>
    <t>Software,Semantic Web,E-Commerce,Analytics,API,Personalization,Semantic Search,SaaS,Big Data,Developer APIs,Search Engine,Artificial Intelligence,Consumer Software,B2C,Information Technology,Product Search,Internet,Content Discovery,Google,Machine Learning</t>
  </si>
  <si>
    <t>https://app.vainu.io/vainu/prospect/6657574/</t>
  </si>
  <si>
    <t>Global Site Tag, GitHub Pages, Google adwords, PHP, Bootstrap, Font awesome, Linkedin Analytics / Advertisement Pixel, Intranet, Gravatar, Website, Google analytics, Smartyads, Office365 email, SSL/TLS, Jquery, Ruby on rails, Twitter, Swiper Slider, Cludo, WP Engine, Outlook, Customer.io, Elementor, Office 365, Google maps, Microsoft exchange, Salesforce Lightning Platform, Amazon CloudFront, Yoast SEO, Wordpress, Google Conversion, Tab Icon, jQuery Migrate, Google tag manager, Ruby, TLS v1.0, Yoast SEO 14.8, Linkedin Data Partner, Hotjar, Linkedin Insight Tag, Google font api, Elementor 3.0, GlobalSign, Nginx, ActiveCampaign, Cookiebot, Vidyard, Youtube Embed, Amazon web services, Google remarketing, Form Html Element, Bootstrap 4.7, Pendo, Mysql, Youtube, _("Responsive"), Glassdoor Job Search, Blog, Recaptcha, Siteimprove Analytics, Sitefinity, Linkedin, Active Campaign, Javascript, Facebook</t>
  </si>
  <si>
    <t>Cobiro A/S</t>
  </si>
  <si>
    <t>DK37518336</t>
  </si>
  <si>
    <t>Esplanaden 8A, 4.</t>
  </si>
  <si>
    <t>https://cobiro.com</t>
  </si>
  <si>
    <t>Small and Medium Businesses,Advertising,Artificial Intelligence,Software,Digital Marketing,Internet,SEO,Web Development,SaaS,E-Commerce,Marketing,Web Design,Machine Learning</t>
  </si>
  <si>
    <t>https://app.vainu.io/vainu/prospect/639555527/</t>
  </si>
  <si>
    <t>Polish, Bamboo HR, Chargebee 2, MasterCard, React, TLS v1.2, DatoCMS, Website, SSL/TLS, Danish, Gatsby, Adobe Typekit, Office 365, Atlassian Domain Verification, Amazon CloudFront, Webpack, Tab Icon, Google tag manager, Html5, TLS v1.0, Datadog, Portuguese, German, Google Pay, French, AmazonS, Netlify, Gatsby 2.20, Amazon web services, ChargeBee, Form Html Element, English, Youtube, Linkedin, Google Plus, Typekit, Google Sign-in, Google Site Verification, _("Responsive"), Zendesk, Italian, Gmail, Spanish, Adyen, Sendgrid, Youtube Embed, Javascript, TLS v1.1</t>
  </si>
  <si>
    <t>En, Da, Pt, It, De, Fr, Pl</t>
  </si>
  <si>
    <t>Colibo A/S</t>
  </si>
  <si>
    <t>DK38226746</t>
  </si>
  <si>
    <t>Margrethepladsen 4, 4.</t>
  </si>
  <si>
    <t>colibo.dk</t>
  </si>
  <si>
    <t>Software,Information Technology,SaaS,Collaboration,Enterprise Software</t>
  </si>
  <si>
    <t>https://app.vainu.io/vainu/prospect/391654381/</t>
  </si>
  <si>
    <t>PHP, Bootstrap, Font awesome, Linkedin Analytics / Advertisement Pixel, Intranet, TLS v1.2, Google analytics, Website, Office365 email, SSL/TLS, Jquery, Mailchimp, Danish, Twitter, Swiper Slider, Outlook, Oracle marketing cloud, Adobe Typekit, Office 365, Wistia, Microsoft exchange, UNPKG, Amazon CloudFront, Cloudflare, Tab Icon, Google tag manager, Flash, Linkedin Data Partner, Linkedin Insight Tag, GoToWebinar, Google font api, Hubspot CMS, animate.css, Vidyard, Youtube Embed, Amazon web services, Form Html Element, Bootstrap 4.7, English, Linkedin Sign-in, HubSpot CMS Hub, _("Responsive"), Google Site Verification, Extranet, Blog, OWL Carousel, Hubspot Marketing Hub, Hubspot, Hubspot Forms, Linkedin, Javascript, Facebook, AMP</t>
  </si>
  <si>
    <t>Commissioning ApS</t>
  </si>
  <si>
    <t>DK40753702</t>
  </si>
  <si>
    <t>Classensgade 24, 1. th.</t>
  </si>
  <si>
    <t>cxplanner.dk</t>
  </si>
  <si>
    <t>Construction,Software,Information Technology,Project Management,SaaS,Productivity Tools,Management Information Systems</t>
  </si>
  <si>
    <t>https://app.vainu.io/vainu/prospect/1741060997/</t>
  </si>
  <si>
    <t>Global Site Tag, Bootstrap, TLS v1.2, Google analytics, Website, SSL/TLS, Jquery, Danish, Dutch, Tidio Live Chat, Tab Icon, Google tag manager, Tidio, Html5, Google play, TLS v1.0, Google font api, Tidio Chat, Nginx, Amazon web services, Form Html Element, English, Bootstrap 4.5, Linkedin, _("Responsive"), Google Site Verification, Spanish, Youtube Embed, Javascript, TLS v1.1</t>
  </si>
  <si>
    <t>ComplyCloud ApS</t>
  </si>
  <si>
    <t>DK35813764</t>
  </si>
  <si>
    <t>Borgergade 24B, 3.</t>
  </si>
  <si>
    <t>www.complycloud.com</t>
  </si>
  <si>
    <t>Compliance,Legal Tech,Software,Information Technology,SaaS,Legal</t>
  </si>
  <si>
    <t>https://app.vainu.io/vainu/prospect/6627191/</t>
  </si>
  <si>
    <t>PHP, Dropbox, Smartyads, TLS v1.2, Google analytics, Website, SSL/TLS, Pardot, Outlook, WordPress 5.8, Flash video, Salesforce, Wordpress super cache, Wistia, Microsoft exchange, Mail Anyone, Wordpress, TLS v1.0, Slack, Google font api, Salesforce marketing cloud, Vidyard, Amazon web services, Vimeo, Mysql, _("Responsive"), WordPress 5, Apache, Linkedin, Javascript, Facebook, TLS v1.1</t>
  </si>
  <si>
    <t>Confrere AS</t>
  </si>
  <si>
    <t>DK37014230</t>
  </si>
  <si>
    <t>c/o Marie Røthing Hørlyck  Tranevej 1</t>
  </si>
  <si>
    <t>confrere.com</t>
  </si>
  <si>
    <t>Software,Video,Information Technology,Video Chat,SaaS,Health Care</t>
  </si>
  <si>
    <t>https://app.vainu.io/vainu/prospect/2194275281/</t>
  </si>
  <si>
    <t>PHP, MasterCard, React, Instagram, TLS v1.2, Website, SSL/TLS, Twitter, Gatsby, Amazon CloudFront, Webpack, Html5, TLS v1.0, Plausible, Hotjar, MailerLite, AmazonS, Amazon web services, Form Html Element, Vimeo, Youtube, _("Responsive"), Google Site Verification, Gatsby 2.32, Zendesk, Gmail, SlideShare, Javascript, Facebook, TLS v1.1</t>
  </si>
  <si>
    <t>Sv, No, En, Da, It, De, Nl, Nb, Fr, Es, Fi</t>
  </si>
  <si>
    <t>Contractpedia ApS</t>
  </si>
  <si>
    <t>DK36904763</t>
  </si>
  <si>
    <t>Tuse Næs Vej 7A</t>
  </si>
  <si>
    <t>HOLBÆK</t>
  </si>
  <si>
    <t>www.contractpedia.com</t>
  </si>
  <si>
    <t>Virtual Workforce,Small and Medium Businesses,Consumer Software,Software,Information Technology,Contract Management,SaaS,Consulting,Business Information Systems,Management Information Systems</t>
  </si>
  <si>
    <t>https://app.vainu.io/vainu/prospect/6698344/</t>
  </si>
  <si>
    <t>Global Site Tag, PHP, Google adwords, Google Shopping, Bootstrap, Doubleclick, Font awesome, Website, Google analytics, Brightcove, Microsoft IIS, Office365 email, SSL/TLS, Jquery, Mailchimp, Danish, Litespeed, Outlook, Microsoft asp.net, Office 365, Google maps, Microsoft exchange, UNPKG, Osano, Cloudflare, Microsoft ASP.NET 4.0, Tab Icon, Wordpress, Google Conversion, Google tag manager, Flash, Html5, TLS v1.0, Microsoft IIS 8.5, Modernizr, Slack, animate.css, Swedish, Zendesk Chat, Google remarketing, jsDelivr, Form Html Element, English, Mysql, Youtube, _("Responsive"), SparkPost, MaxMind, Zendesk, Blog, Cookie Consent By Insites, Jquery ui, Linkedin, Javascript, Facebook, TLS v1.1</t>
  </si>
  <si>
    <t>Contrato ApS</t>
  </si>
  <si>
    <t>DK37402745</t>
  </si>
  <si>
    <t>Rosenkrantzgade 23, 4.</t>
  </si>
  <si>
    <t>contrato.eu</t>
  </si>
  <si>
    <t>Small and Medium Businesses,Compliance,Software,Information Technology,Contract Management,SaaS,Enterprise,Business Information Systems,Management Information Systems</t>
  </si>
  <si>
    <t>https://app.vainu.io/vainu/prospect/396277576/</t>
  </si>
  <si>
    <t>PHP, Polish, Apache 2.4, Google adwords, Bootstrap 3.3, Bootstrap, Font awesome, TLS v1.2, Google analytics, Website, Chart.js, Danish, SSL/TLS, Jquery, Twitter, Portuguese, Dutch, Turkish, Revslider, Revslider 5.1, Romanian, Yoast SEO, Wordpress, Google Conversion, Tab Icon, jQuery Migrate, Google tag manager, Yoast SEO 3.0, German, Slack, American Express, Wordpress 4, Ro, Debian, French, Russian, Google font api, Pinterest, Swedish, Angularjs, Zendesk Chat, Finnish, Norwegian, Form Html Element, English, Mysql, Prettyphoto, Youtube, _("Responsive"), Italian, Blog, Apache, Spanish, Jquery ui, Linkedin, Javascript, Facebook</t>
  </si>
  <si>
    <t>Sv, No, En, Ru, Da, Pt, Tr, El, It, De, Nl, Nb, Fr, za, Es, Pl, Fi</t>
  </si>
  <si>
    <t>Convecto ApS</t>
  </si>
  <si>
    <t>DK39843188</t>
  </si>
  <si>
    <t>Møgelgårdsvej 43</t>
  </si>
  <si>
    <t>LYSTRUP</t>
  </si>
  <si>
    <t>www.convecto.dk</t>
  </si>
  <si>
    <t>Accounting,SaaS,Software</t>
  </si>
  <si>
    <t>https://app.vainu.io/vainu/prospect/1412392478/</t>
  </si>
  <si>
    <t>Facebook Domain Verification, PHP, Vkontakte, Bootstrap, Nginx 1.21, Font awesome, Smartyads, TLS v1.2, Website, SSL/TLS, Jquery, Tumblr, Swiper Slider, Litespeed, Elementor, Booking Widget (All), Tab Icon, Wordpress, jQuery Migrate, Google tag manager, Html5, TLS v1.0, WordPress 5.7, Slack, Google font api, Nginx, ActiveCampaign, Popper, Livechat, Popper 1.12, Javascript, Whatsapp Website Icon, Form Html Element, Vimeo, Mysql, Linkedin, Youtube, Google Plus, _("Responsive"), Google Site Verification, WordPress 5, Google Cloud, Hubspot Analytics, Gmail, Hubspot, Hubspot Forms, Youtube Embed, Vue.js, Active Campaign, Hubspot Ads Pixel, Facebook, TLS v1.1</t>
  </si>
  <si>
    <t>En, Da, Es</t>
  </si>
  <si>
    <t>Cookie Information A/S</t>
  </si>
  <si>
    <t>DK38758292</t>
  </si>
  <si>
    <t>Kristen Bernikows Gade 4, 2.</t>
  </si>
  <si>
    <t>https://cookieinformation.com/</t>
  </si>
  <si>
    <t>API,GDPR,Compliance,Legal Tech,Software,Ediscovery,Privacy,Information Technology,Internet,SaaS,Legal,Security,Developer APIs,Data Security</t>
  </si>
  <si>
    <t>https://app.vainu.io/vainu/prospect/640171279/</t>
  </si>
  <si>
    <t>Facebook Domain Verification, PHP, Font awesome, React, Gravatar, TLS v1.2, Google analytics, Slick, Office365 email, SSL/TLS, Jquery, Website, Mailchimp, Twitter, Danish, Wp rocket, Outlook, Instafeed, Adobe Typekit, Elementor, Office 365, Select2, Google maps, Microsoft exchange, Tab Icon, Wordpress, jQuery Migrate, Google tag manager, Flash, TLS v1.0, Slack, German, Stripe Online Payments, French, Google font api, Nginx, Swedish, Norwegian, Form Html Element, Stripe, English, Mysql, Vimeo, Youtube, _("Responsive"), Google Site Verification, SparkPost, Intercom, Apache, Thai, Sendgrid, Handlebars, Linkedin, Javascript, Facebook, TLS v1.1</t>
  </si>
  <si>
    <t>Sv, No, En, Da, Th, De, Nb, Fr</t>
  </si>
  <si>
    <t>Cursum A/S</t>
  </si>
  <si>
    <t>DK38247662</t>
  </si>
  <si>
    <t>Rosenørns Alle 1</t>
  </si>
  <si>
    <t>FREDERIKSBERG C</t>
  </si>
  <si>
    <t>cursum.com</t>
  </si>
  <si>
    <t>EdTech,Training,Software,Knowledge Management,Education,Internet,Skill Assessment,SaaS,E-Learning,Corporate Training</t>
  </si>
  <si>
    <t>https://app.vainu.io/vainu/prospect/392899477/</t>
  </si>
  <si>
    <t>Facebook Domain Verification, GitHub Pages, PHP, Bootstrap, Workable, TLS v1.2, Website, Office365 email, SSL/TLS, Jquery, Ruby on rails, Outlook, W3 total cache, Microsoft exchange, Yoast SEO, Wordpress, Tab Icon, Google tag manager, Ruby, Google font api, Popper, Popper 1.12, W3 Total Cache 2.1, Form Html Element, Yoast SEO 17.1, Mysql, Youtube, Linkedin, Bootstrap 4.6, _("Responsive"), Google Site Verification, Glassdoor Job Search, Blog, Apache, Recaptcha, Contact Form 7 Wordpress Plugin, Ahrefs SEO tools, Sendgrid, Youtube Embed, Javascript, Facebook</t>
  </si>
  <si>
    <t>DANIA SOFTWARE A/S</t>
  </si>
  <si>
    <t>DK36201320</t>
  </si>
  <si>
    <t>Strandvejen 111</t>
  </si>
  <si>
    <t>SLAGELSE</t>
  </si>
  <si>
    <t>daniasoftware.com</t>
  </si>
  <si>
    <t>Consumer Software,Operating Systems,Software,Application Performance Management,Information Technology,Software Engineering,Computer,Document Management,SaaS,Management Information Systems,Enterprise,Business Information Systems,Enterprise Software</t>
  </si>
  <si>
    <t>https://app.vainu.io/vainu/prospect/6827473/</t>
  </si>
  <si>
    <t>PHP, Bootstrap, Doubleclick, Intranet, Gravatar, TLS v1.2, Google analytics, Website, Microsoft IIS, SSL/TLS, Office365 email, Jquery, Microsoft IIS 10.0, Twitter, Litespeed, Mailchimp, Wp rocket, Outlook, Danish, Microsoft asp.net, Google maps, Microsoft exchange, Tab Icon, Wordpress, jQuery Migrate, Google tag manager, TLS v1.0, Bootstrap 4.3, Slack, Google font api, Swedish, Norwegian, Form Html Element, Vimeo, English, Flickr, Mysql, Linkedin, _("Responsive"), Google Site Verification, WordPress 5, Recaptcha, Youtube Embed, Active Campaign, Javascript, Facebook, TLS v1.1</t>
  </si>
  <si>
    <t>Sv, No, En, Da, Nb</t>
  </si>
  <si>
    <t>DESIGNHUB ApS</t>
  </si>
  <si>
    <t>DK34074445</t>
  </si>
  <si>
    <t>Sorøgade 6, 4.</t>
  </si>
  <si>
    <t>www.delogue.com</t>
  </si>
  <si>
    <t>B2B,B2C,Software,Retail Technology,Product Search,SaaS,E-Commerce,Enterprise Software,Fashion</t>
  </si>
  <si>
    <t>https://app.vainu.io/vainu/prospect/6640582/</t>
  </si>
  <si>
    <t>PHP, Ubuntu, Doubleclick, Linkedin Analytics / Advertisement Pixel, React, TLS v1.2, Google analytics, Website, Mailchimp, SSL/TLS, Jquery, Gatsby, Microsoft asp.net, Office 365, Leadfeeder, Nginx 1.14, Gatsby 2.30, Webpack, Tab Icon, Wordpress, Google tag manager, TLS v1.0, Xhtml, Slack, Google font api, Nginx, Netlify, Mailgun, Form Html Element, _("Responsive"), Google Site Verification, Hubspot Analytics, Gmail, Contact Form 7 Wordpress Plugin, Linkedin, Javascript, TLS v1.1</t>
  </si>
  <si>
    <t>En, De</t>
  </si>
  <si>
    <t>DOCAS SYSTEMS A/S</t>
  </si>
  <si>
    <t>DK32081339</t>
  </si>
  <si>
    <t>Jernbanegade 5, 1.</t>
  </si>
  <si>
    <t>EBELTOFT</t>
  </si>
  <si>
    <t>www.docas.dk</t>
  </si>
  <si>
    <t>Training,Education,SaaS,E-Learning,Corporate Training</t>
  </si>
  <si>
    <t>https://app.vainu.io/vainu/prospect/6794999/</t>
  </si>
  <si>
    <t>PHP, Webflow, Bootstrap, Font awesome, Website, Google analytics, Microsoft IIS, Microsoft IIS 10.0, Jquery, Twitter, Microsoft asp.net, Adobe Typekit, Office 365, Microsoft ASP.NET 4.0, Tab Icon, Google tag manager, Ionicons, Google font api, Lightbox, Form Html Element, Vimeo, Google Plus, Segment, _("Responsive"), OWL Carousel, Gmail, Linkedin, Javascript, Facebook</t>
  </si>
  <si>
    <t>DRIVERSNOTE ApS</t>
  </si>
  <si>
    <t>DK36090405</t>
  </si>
  <si>
    <t>c/o Matrikel1  Højbro Plads 10</t>
  </si>
  <si>
    <t>www.driversnote.dk</t>
  </si>
  <si>
    <t>Small and Medium Businesses,Consumer Software,B2B,B2C,Software,Information Technology,Contact Management,Customer Service,SaaS,Business Information Systems,Management Information Systems</t>
  </si>
  <si>
    <t>https://app.vainu.io/vainu/prospect/6862483/</t>
  </si>
  <si>
    <t>PHP, Bootstrap, Font awesome, Help Scout, TLS v1.2, Website, Mailchimp, SSL/TLS, Jquery, Twitter, Google maps, Apple App Store, Tab Icon, Google tag manager, Typeform, Google play, TLS v1.0, Google font api, Form Html Element, Bootstrap 4.7, _("Responsive"), Google Site Verification, Google Cloud, Gmail, Bugsnag, Linkedin, Javascript, Facebook, TLS v1.1</t>
  </si>
  <si>
    <t>Datto Denmark ApS</t>
  </si>
  <si>
    <t>DK29614547</t>
  </si>
  <si>
    <t>Lottenborgvej 26</t>
  </si>
  <si>
    <t>datto.com</t>
  </si>
  <si>
    <t>Software,Application Performance Management,Cyber Security,Cloud Security,Computer,Data Center Automation,SaaS,Cloud Data Services,Cloud Infrastructure,Data Storage,Data Security,Operating Systems,Information Technology,Flash Storage,Cloud Computing,Virtualization,Private Cloud,Enterprise,Cloud Storage,Security,Enterprise Software</t>
  </si>
  <si>
    <t>https://app.vainu.io/vainu/prospect/6599373/</t>
  </si>
  <si>
    <t>PHP, Akamai mPulse, Intranet, Force.com, TLS v1.2, Google analytics, Website, SSL/TLS, Jquery, Twitter, Vue.js 19, Wistia, Atlassian Domain Verification, Akamai Boomerang, Spot.Im / Disgus, Cxense, Tab Icon, Google tag manager, Html5, Marketo, TLS v1.0, Yii, Akamai, Vue.js 30, Heap, Facebook Share Button Plugin, Form Html Element, Akamai Resource Optimizer, Boomerang, Youtube, Google Plus, _("Responsive"), Google Site Verification, Craft Commerce, Craft CMS, Apache, Facebook, Vue.js 11842, Linkedin, Vue.js, Javascript, Cision, TLS v1.1</t>
  </si>
  <si>
    <t>Det Gode Firma ApS</t>
  </si>
  <si>
    <t>DK38326694</t>
  </si>
  <si>
    <t>Multebærvej 30</t>
  </si>
  <si>
    <t>DRONNINGLUND</t>
  </si>
  <si>
    <t>http://detgodefirma.dk</t>
  </si>
  <si>
    <t>Blockchain,Artificial Intelligence,Business Intelligence,Internet of Things,Software,Information Technology,Mobile,Web Development,Big Data,SaaS,Apps,iOS,Mobile Apps,Android,Machine Learning</t>
  </si>
  <si>
    <t>https://app.vainu.io/vainu/prospect/392045306/</t>
  </si>
  <si>
    <t>Global Site Tag, PHP, Bootstrap, Font awesome, Instagram, Gravatar, TLS v1.2, Google analytics, Website, Force.com, SSL/TLS, Jquery, Mailchimp, Twitter, Yoast SEO, Wordpress, Tab Icon, jQuery Migrate, Flash, Html5, Crisp Chat, Google tag manager, Modernizr, Slack, Google pagespeed, Facebook Like Button Plugin, Google font api, Facebook pixel, Google PageSpeed 1.9, Calendly, Form Html Element, Vimeo, Mysql, Prettyphoto, Linkedin, Youtube, _("Responsive"), Google Site Verification, WordPress 5, TLS problem, Monsterinsights, Apache, Gmail, Contact Form 7 Wordpress Plugin, WordPress 5.3, Yoast SEO 12.0, Youtube Embed, Javascript, Facebook</t>
  </si>
  <si>
    <t>Digizuite A/S</t>
  </si>
  <si>
    <t>DK25499522</t>
  </si>
  <si>
    <t>Ryttergade 12, 1.</t>
  </si>
  <si>
    <t>ODENSE C</t>
  </si>
  <si>
    <t>https://www.digizuite.com</t>
  </si>
  <si>
    <t>Digital Media,Consumer Software,Operating Systems,Content Delivery Network,Software,Information Technology,Real Time,SaaS,Enterprise,Enterprise Software</t>
  </si>
  <si>
    <t>https://app.vainu.io/vainu/prospect/1751642/</t>
  </si>
  <si>
    <t>Global Site Tag, Instagram, Website, Google analytics, Office365 email, SSL/TLS, Jquery, Afterpay, Mailchimp, Twitter, Outlook, Adobe Typekit, Office 365, Microsoft exchange, Apple App Store, Oribi Analytics, Tab Icon, Google tag manager, Html5, MailJet, TLS v1.0, Hotjar, Xhtml, Slack, AMP, Form Html Element, Vimeo, _("Responsive"), Squarespace, Sendgrid, Zoho Crm, Linkedin, Active Campaign, Javascript, Facebook, TLS v1.1</t>
  </si>
  <si>
    <t>Dixa ApS</t>
  </si>
  <si>
    <t>DK36561009</t>
  </si>
  <si>
    <t>Vimmelskaftet 41A, 1.</t>
  </si>
  <si>
    <t>https://dixa.com/</t>
  </si>
  <si>
    <t>Artificial Intelligence,B2C,Software,Virtual Assistant,Messaging,Customer Engagement,Customer Experience,Information Technology,Contact Management,Video Chat,Social CRM,Customer Service,SaaS,Management Information Systems,Enterprise Software</t>
  </si>
  <si>
    <t>https://app.vainu.io/vainu/prospect/22641458/</t>
  </si>
  <si>
    <t>PHP, MasterCard, Instagram, Gravatar, TLS v1.2, Google analytics, Website, Mailchimp, SSL/TLS, Jquery, Amazon SES, Twitter, Wp rocket, WordPress 5.8, Wistia, Cloudflare, Tab Icon, Wordpress, Google tag manager, Html5, Lever, TLS v1.0, Google Optimize, American Express, Google Optimize 360, iubenda, GoToWebinar, Zuora, Google font api, Hubspot CMS, Facebook Share Button Plugin, Amazon web services, Form Html Element, Mysql, Segment, _("Responsive"), Google Site Verification, WordPress 5, Glassdoor Job Search, Gmail, Hubspot, Hubspot Forms, Linkedin, Javascript, Facebook, TLS v1.1</t>
  </si>
  <si>
    <t>Dreamdata.io ApS</t>
  </si>
  <si>
    <t>DK39855224</t>
  </si>
  <si>
    <t>Købmagergade 22, 2. 2.</t>
  </si>
  <si>
    <t>https://dreamdata.io</t>
  </si>
  <si>
    <t>API,Business Intelligence,B2B,Software,Semantic Web,Predictive Analytics,Digital Marketing,Information Technology,Real Time,Data Visualization,Analytics,SaaS,Big Data,Data Integration,Data Mining,Machine Learning</t>
  </si>
  <si>
    <t>https://app.vainu.io/vainu/prospect/1412386398/</t>
  </si>
  <si>
    <t>Facebook Domain Verification, Workable, Font awesome, Gravatar, TLS v1.2, Website, Mailchimp, SSL/TLS, Jquery, Afterpay, Twitter, Google Cloud Storage, Stimulus, Office 365, Embed.Ly, Polyfill, HelpDocs, Zendesk Sell, Tab Icon, Adroll, TLS v1.0, Xhtml, Adobe Analytics, Google font api, Nginx, Cookiebot, Youtube Embed, Form Html Element, OpenResty 1.15, Youtube, Segment, _("Responsive"), Google Site Verification, Intercom, Highlight.js, Google Cloud, Hubspot Analytics, Uploadserver, Squarespace, Gmail, Hubspot, Openresty, Linkedin, Javascript, Facebook, TLS v1.1</t>
  </si>
  <si>
    <t>Duuoo ApS</t>
  </si>
  <si>
    <t>DK37298336</t>
  </si>
  <si>
    <t>c/o Founders A/S  Skelbækgade 2, 6.</t>
  </si>
  <si>
    <t>www.duuoo.io</t>
  </si>
  <si>
    <t>Virtual Workforce,Software,Information Technology,Human Resources,SaaS,Management Information Systems,Enterprise,Collaboration,Productivity Tools,Enterprise Software</t>
  </si>
  <si>
    <t>https://app.vainu.io/vainu/prospect/8334926/</t>
  </si>
  <si>
    <t>Global Site Tag, Google adwords, Webflow, Linkedin Analytics / Advertisement Pixel, Instagram, Intranet, Smartyads, Google analytics, TLS v1.2, Website, SSL/TLS, Jquery, Twitter, Appcues, Office 365, Spot.Im / Disgus, Tab Icon, Wordpress, Varnish, Google tag manager, Addthis, FullStory, Nginx, Hubspot Email, Facebook pixel, Heap, Form Html Element, _("Responsive"), Google Site Verification, Intercom, Glassdoor Job Search, Blog, _("Online_Store"), Gmail, Recaptcha, Openresty, Linkedin, Javascript, Facebook</t>
  </si>
  <si>
    <t>EASYDAY ApS</t>
  </si>
  <si>
    <t>DK33151772</t>
  </si>
  <si>
    <t>Hammershusvej 16F</t>
  </si>
  <si>
    <t>HERNING</t>
  </si>
  <si>
    <t>https://www.easyday.com/</t>
  </si>
  <si>
    <t>Consumer Software,Software,Information Technology,Internet,SaaS,Management Information Systems</t>
  </si>
  <si>
    <t>https://app.vainu.io/vainu/prospect/22726538/</t>
  </si>
  <si>
    <t>PHP, TLS v1.2, Website, Office365 email, Microsoft IIS, SSL/TLS, Jquery, Mailchimp, Twitter, Outlook, Microsoft asp.net, Google maps, Microsoft exchange, Microsoft IIS 7.5, Cloudflare, Mobilepay, Tab Icon, TLS v1.0, Pinterest, Google font api, Cookiebot, Sleeknote, Facebook Share Button Plugin, Classic asp, Form Html Element, Vimeo, Youtube, Linkedin, _("Responsive"), Google Site Verification, Blog, _("Online_Store"), Youtube Embed, Javascript, Facebook, TLS v1.1</t>
  </si>
  <si>
    <t>EAZYPROJECT A/S</t>
  </si>
  <si>
    <t>DK27660606</t>
  </si>
  <si>
    <t>Stændertorvet 4, 1.</t>
  </si>
  <si>
    <t>ROSKILDE</t>
  </si>
  <si>
    <t>eazyproject.net</t>
  </si>
  <si>
    <t>Virtual Workforce,Construction,Software,Information Technology,Task Management,Project Management,SaaS,Enterprise,Productivity Tools,Management Information Systems,Scheduling</t>
  </si>
  <si>
    <t>https://app.vainu.io/vainu/prospect/5832866/</t>
  </si>
  <si>
    <t>Global Site Tag, Facebook Domain Verification, PHP, Bootstrap, Linkedin Analytics / Advertisement Pixel, Instagram, Gravatar, TLS v1.2, Google analytics, Website, Office365 email, SSL/TLS, Jquery, Mailchimp, Danish, Outlook, WordPress 5.8, Office 365, Leadfeeder, Microsoft exchange, Apple App Store, Freshdesk Freshchat, Yoast SEO, Wordpress, Tab Icon, jQuery Migrate, Google tag manager, Google play, TLS v1.0, Linkedin Data Partner, Linkedin Insight Tag, Google font api, Yoast SEO 16.8, Facebook pixel, Facebook Share Button Plugin, Youtube Embed, Javascript, Mailgun, Form Html Element, English, Mysql, Youtube, _("Responsive"), WordPress 5, Hubspot Leadflows, Hubspot Analytics, Apache, Recaptcha, Hubspot, Hubspot Forms, Linkedin, Active Campaign, Hubspot Ads Pixel, Facebook, TLS v1.1</t>
  </si>
  <si>
    <t>EFFECTLAUNCHER ApS</t>
  </si>
  <si>
    <t>DK35674225</t>
  </si>
  <si>
    <t>Karen Blixens Boulevard 7, st.</t>
  </si>
  <si>
    <t>BRABRAND</t>
  </si>
  <si>
    <t>www.effectlauncher.dk</t>
  </si>
  <si>
    <t>Project Management,Information Technology,SaaS,Software</t>
  </si>
  <si>
    <t>https://app.vainu.io/vainu/prospect/20425168/</t>
  </si>
  <si>
    <t>PHP, W3 Total Cache 0.15, Intranet, TLS v1.2, Website, Office365 email, SSL/TLS, Jquery, Litespeed, Outlook, W3 total cache, Office 365, Microsoft exchange, jQuery Migrate, Wordpress, TLS v1.0, Slack, Google font api, Mysql, _("Responsive"), WordPress 5, Apache, Moove Cookie Consent, Javascript, TLS v1.1</t>
  </si>
  <si>
    <t>EFFIHUB ApS</t>
  </si>
  <si>
    <t>DK37280038</t>
  </si>
  <si>
    <t>Danstrupvej 27L, 1. 1.</t>
  </si>
  <si>
    <t>FREDENSBORG</t>
  </si>
  <si>
    <t>www.effihub.com</t>
  </si>
  <si>
    <t>Small and Medium Businesses,SaaS,Software</t>
  </si>
  <si>
    <t>https://app.vainu.io/vainu/prospect/7481815/</t>
  </si>
  <si>
    <t>Facebook Domain Verification, PHP, Vkontakte, MasterCard, Font awesome, Instagram, TLS v1.2, Google analytics, Slick, Website, SSL/TLS, Jquery, Tumblr, Swiper Slider, Wp rocket, Revslider, Adobe Typekit, Elementor, Wistia, Osano, Yoast SEO, Wordpress, Tab Icon, jQuery Migrate, Google tag manager, Html5, Hotjar, Slack, American Express, Google font api, Nginx, Cookiebot, Astra, Form Html Element, Whatsapp Website Icon, Vimeo, Mysql, Youtube, Google Plus, _("Responsive"), WordPress 5, MaxMind, Intercom, Yoast SEO 16.6, Cookie Consent By Insites, _("Online_Store"), Gmail, Astra 3.6, Complianz, Linkedin, Vue.js, Active Campaign, Javascript, Facebook</t>
  </si>
  <si>
    <t>EMPLATE ApS</t>
  </si>
  <si>
    <t>DK36031034</t>
  </si>
  <si>
    <t>Søren Frichs Vej 42Q</t>
  </si>
  <si>
    <t>ÅBYHØJ</t>
  </si>
  <si>
    <t>http://emplate.it</t>
  </si>
  <si>
    <t>B2C,Software,Retail Technology,Product Search,Internet,SaaS,E-Commerce,Retail</t>
  </si>
  <si>
    <t>https://app.vainu.io/vainu/prospect/23168854/</t>
  </si>
  <si>
    <t>Webflow, Crowdtwist, TLS v1.2, Website, SSL/TLS, Jquery, Amazon SES, Adobe Typekit, Embed.Ly, Atlassian Domain Verification, Google tag manager, Varnish, Google font api, Nginx, Calendly, Form Html Element, Vimeo, Youtube, Linkedin, _("Responsive"), Google Site Verification, Blog, Gmail, Openresty, Youtube Embed, Active Campaign, Javascript, Facebook</t>
  </si>
  <si>
    <t>EMPLY ApS</t>
  </si>
  <si>
    <t>DK31430747</t>
  </si>
  <si>
    <t>Paul Bergsøes Vej 16, 1.</t>
  </si>
  <si>
    <t>GLOSTRUP</t>
  </si>
  <si>
    <t>http://www.emply.dk</t>
  </si>
  <si>
    <t>Virtual Workforce,Talent Management,Software,Information Technology,Human Resources,SaaS,Recruiting,Enterprise Software</t>
  </si>
  <si>
    <t>https://app.vainu.io/vainu/prospect/6839414/</t>
  </si>
  <si>
    <t>Instagram, TLS v1.2, Website, Slick, Office365 email, SSL/TLS, Jquery, Twitter, Outlook, Microsoft exchange, Tab Icon, Google tag manager, Google font api, Form Html Element, _("Responsive"), TLS problem, Jquery ui, Linkedin, Javascript, Facebook</t>
  </si>
  <si>
    <t>En, la, Da</t>
  </si>
  <si>
    <t>ENALYZER SOFTWARE A/S</t>
  </si>
  <si>
    <t>DK32443591</t>
  </si>
  <si>
    <t>Refshalevej 147</t>
  </si>
  <si>
    <t>https://www.enalyzer.com/</t>
  </si>
  <si>
    <t>Crowdsourcing,Software,Semantic Web,Information Technology,Online Forums,Real Time,Internet,SaaS,Consulting,Productivity Tools,Analytics,Market Research</t>
  </si>
  <si>
    <t>https://app.vainu.io/vainu/prospect/6723493/</t>
  </si>
  <si>
    <t>Venmo, PHP, Azure Application Insights, MasterCard, Website, Microsoft IIS, Office365 email, Jquery, Microsoft IIS 10.0, Twitter, Visa, Outlook, WordPress 5.8, Microsoft asp.net, Wordpress super cache, Office 365, Apple Pay, Mobilepay, Microsoft ASP.NET 4.0, Tab Icon, Wordpress, jQuery Migrate, Google tag manager, Html5, Chatlio, MasterPass, Xhtml, Slack, American Express, Google Pay, Google font api, UnionPay, Braintree Payments, Youtube Embed, Form Html Element, Vimeo, Mysql, Google Plus, _("Responsive"), WordPress 5, Blog, _("Online_Store"), Apache, OWL Carousel, Recaptcha, Appinsights, Linkedin, Javascript, Facebook</t>
  </si>
  <si>
    <t>Sv, No, En, Da, Nl</t>
  </si>
  <si>
    <t>ENCODE A/S</t>
  </si>
  <si>
    <t>DK26317797</t>
  </si>
  <si>
    <t>Sverigesgade 5, 3.</t>
  </si>
  <si>
    <t>https://www.encode.eu/</t>
  </si>
  <si>
    <t>Small and Medium Businesses,CRM,Advertising,B2B,B2C,Software,Brand Marketing,Project Management,Contact Management,Asset Management,Marketing,SaaS,Enterprise,Enterprise Software</t>
  </si>
  <si>
    <t>https://app.vainu.io/vainu/prospect/21731252/</t>
  </si>
  <si>
    <t>PHP, Webflow, TLS v1.2, Website, SSL/TLS, Jquery, Danish, Twitter, Adobe Typekit, Embed.Ly, Google tag manager, Varnish, Weglot, Jimdo, Google font api, Nginx, Sleeknote, Shopify, jsDelivr, Form Html Element, Vimeo, Pendo, _("Responsive"), Google Site Verification, _("Online_Store"), Gmail, Openresty, Linkedin, Javascript, Facebook</t>
  </si>
  <si>
    <t>EPISERVER DENMARK ApS</t>
  </si>
  <si>
    <t>DK32761747</t>
  </si>
  <si>
    <t>Njalsgade 23, 1.</t>
  </si>
  <si>
    <t>https://www.episerver.com</t>
  </si>
  <si>
    <t>Content,Software,Semantic Web,Content Creators,E-Commerce,API,Digital Media,Personalization,B2B,Digital Marketing,CMS,SaaS,Content Delivery Network,Content Marketing,Advertising,B2C,Product Management,Information Technology,Product Search,Internet,Content Discovery,Enterprise Software</t>
  </si>
  <si>
    <t>https://app.vainu.io/vainu/prospect/6640909/</t>
  </si>
  <si>
    <t>PHP, Azure Application Insights, Intranet, Netsuite, TLS v1.2, Google analytics, Website, SSL/TLS, Jquery, Twitter, Episerver, Outlook, Flash video, Office 365, Wistia, Atlassian Domain Verification, Microsoft exchange, Optimizely, Osano, Cloudflare, Google tag manager, Html5, Marketo, TLS v1.0, Hotjar, German, Adobe Analytics, Google font api, Swedish, Facebook Share Button Plugin, Norwegian, Microsoft azure, Microsoft Word, Form Html Element, Episerver Find 13, English, ZOOM, Youtube, Mimecast, Google Site Verification, _("Responsive"), Zendesk, Sendgrid, Appinsights, Linkedin, Javascript, Facebook, TLS v1.1</t>
  </si>
  <si>
    <t>ETARG MEDIA ApS</t>
  </si>
  <si>
    <t>DK32932215</t>
  </si>
  <si>
    <t>c/o Henrik Jørgensen  Åboulevarden 22, 5.</t>
  </si>
  <si>
    <t>https://www.accuranker.com/</t>
  </si>
  <si>
    <t>Advertising,Search Engine,Software,Digital Marketing,Internet,Semantic Search,SEO,SaaS,Google,Analytics</t>
  </si>
  <si>
    <t>https://app.vainu.io/vainu/prospect/23544353/</t>
  </si>
  <si>
    <t>PHP, MasterCard, Instagram, Gravatar, TLS v1.2, Google analytics, Website, Mailchimp, SSL/TLS, Jquery, Amazon SES, Twitter, Visa, Elementor, Google maps, Cloudflare, Litespeed Cache, Tab Icon, Wordpress, Google tag manager, TLS v1.0, Google font api, Nginx, ActiveCampaign, Omniture, Facebook Share Button Plugin, Form Html Element, Mysql, Linkedin, Youtube, _("Responsive"), Disqus, Google Site Verification, Trustpilot, Gmail, Recaptcha, Contact Form 7 Wordpress Plugin, Unbounce, Choices, Youtube Embed, Active Campaign, Javascript, Facebook, TLS v1.1</t>
  </si>
  <si>
    <t>EXPANDIT INTERNATIONAL A/S</t>
  </si>
  <si>
    <t>DK21389781</t>
  </si>
  <si>
    <t>Slotsmarken 12</t>
  </si>
  <si>
    <t>https://www.expandit.com/</t>
  </si>
  <si>
    <t>Facility Management,Consumer Software,Software,Information Services,Information Technology,Computer,Service Industry,Customer Service,SaaS,Business Information Systems,Management Information Systems</t>
  </si>
  <si>
    <t>https://app.vainu.io/vainu/prospect/6618588/</t>
  </si>
  <si>
    <t>Constant Contact, Linkedin Analytics / Advertisement Pixel, Website, Google analytics, Microsoft IIS, Microsoft IIS 10.0, Jquery, Outlook, Microsoft asp.net, Office 365, Microsoft exchange, Requirejs, Microsoft ASP.NET 4.0, Tab Icon, Html5, Linkedin Data Partner, Linkedin Insight Tag, Form Html Element, Youtube, Linkedin, _("Responsive"), Google Site Verification, Recaptcha, Youtube Embed, Javascript</t>
  </si>
  <si>
    <t>De, En, Da, Es</t>
  </si>
  <si>
    <t>EXPRESS A/S</t>
  </si>
  <si>
    <t>DK35849173</t>
  </si>
  <si>
    <t>Hørskætten 7</t>
  </si>
  <si>
    <t>express.dk</t>
  </si>
  <si>
    <t>CRM,GDPR,API,B2C,Software,Privacy,Information Technology,Customer Service,SaaS,Direct Marketing,Printing,Security</t>
  </si>
  <si>
    <t>https://app.vainu.io/vainu/prospect/6767070/</t>
  </si>
  <si>
    <t>Global Site Tag, PHP, Google adwords, Font awesome, Linkedin Analytics / Advertisement Pixel, Gravatar, TLS v1.2, Google analytics, Website, SSL/TLS, Jquery, Outlook, Microsoft exchange, jQuery Migrate, Wordpress, Google tag manager, Html5, TLS v1.0, Modernizr, Linkedin Data Partner, Pinterest, Linkedin Insight Tag, wpBakery, GoToWebinar, Google font api, Hubspot CMS, animate.css, Facebook Share Button Plugin, Javascript, Form Html Element, Vimeo, Mysql, Linkedin, Hubspot Live Chat, _("Responsive"), Hubspot Leadflows, Hubspot Analytics, Apache, Contact Form 7 Wordpress Plugin, Hubspot, Hubspot Forms, Youtube Embed, Hubspot Ads Pixel, Facebook, TLS v1.1</t>
  </si>
  <si>
    <t>EasyPractice ApS</t>
  </si>
  <si>
    <t>DK35642536</t>
  </si>
  <si>
    <t>Strandlodsvej 44, 3.</t>
  </si>
  <si>
    <t>https://easypractice.net</t>
  </si>
  <si>
    <t>Consumer Software,Software,Information Technology,SaaS,Health Care</t>
  </si>
  <si>
    <t>https://app.vainu.io/vainu/prospect/6761558/</t>
  </si>
  <si>
    <t>Global Site Tag, PHP, Apache 2.4, Bootstrap, MasterCard, Instagram, Gravatar, TLS v1.2, Google analytics, Website, SSL/TLS, Jquery, Danish, Visa, Apple App Store, Apple Pay, Booking Widget (All), Cloudflare, Dankort, Mobilepay, Tab Icon, Wordpress, Google tag manager, Html5, Centos, TLS v1.0, Hotjar, American Express, Google font api, OpenSSL 1.0, Swedish, New relic, Norwegian, Youtube Embed, Form Html Element, English, Mysql, Youtube, _("Responsive"), Google Site Verification, GrooveHQ, WordPress 5, Openssl, Apache, Gmail, Recaptcha, Linkedin, Javascript, Facebook, TLS v1.1</t>
  </si>
  <si>
    <t>Sv, Nb, No, En</t>
  </si>
  <si>
    <t>Eurekos Systems ApS</t>
  </si>
  <si>
    <t>DK40845488</t>
  </si>
  <si>
    <t>c/o Willumsen  Gøgevænget 5</t>
  </si>
  <si>
    <t>www.eurekos.com</t>
  </si>
  <si>
    <t>Content,Software,Knowledge Management,Education,Internet,SaaS,E-Learning</t>
  </si>
  <si>
    <t>https://app.vainu.io/vainu/prospect/1760208350/</t>
  </si>
  <si>
    <t>Facebook Domain Verification, PHP, Vkontakte, Font awesome, Intranet, TLS v1.2, Google analytics, Slick, Website, SSL/TLS, Jquery, Amazon SES, Tumblr, Twitter, Swiper Slider, WP Engine, Elementor, Apple Pay, Cloudflare, Tab Icon, Wordpress, jQuery Migrate, Google tag manager, Html5, TLS v1.0, Slack, Google font api, Wix, Cookiebot, Youtube Embed, Astra, Form Html Element, Whatsapp Website Icon, Vimeo, Mysql, Youtube, Google Plus, _("Responsive"), Google Site Verification, Opencart, _("Online_Store"), Gmail, Recaptcha, Hubspot, Astra 3.6, Gravity Forms, Linkedin, Active Campaign, Javascript, Facebook, TLS v1.1</t>
  </si>
  <si>
    <t>EveryonePrint A/S</t>
  </si>
  <si>
    <t>DK27637167</t>
  </si>
  <si>
    <t>Gladsaxevej 384D</t>
  </si>
  <si>
    <t>www.everyoneprint.com</t>
  </si>
  <si>
    <t>Operating Systems,Software,Cloud Computing,Information Technology,SaaS,Cloud Data Services,Enterprise,Cloud Storage,Enterprise Software</t>
  </si>
  <si>
    <t>https://app.vainu.io/vainu/prospect/6605000/</t>
  </si>
  <si>
    <t>PHP, Font awesome, Instagram, Gravatar, TLS v1.2, Website, Office365 email, SSL/TLS, Jquery, Mailchimp, Twitter, Outlook, WP Engine, Office 365, Microsoft exchange, Amazon CloudFront, Yoast SEO, Wordpress, Tab Icon, jQuery Migrate, Google tag manager, Html5, TLS v1.0, Slack, Pinterest, Mouseflow, AmazonS, Google font api, Nginx, Zendesk Chat, Facebook Share Button Plugin, Amazon web services, Form Html Element, Vimeo, Yoast SEO 17.1, Mysql, Youtube, Linkedin, Google Plus, _("Responsive"), Google Site Verification, Zendesk, Contact Form 7 Wordpress Plugin, Hubspot Forms, Youtube Embed, Javascript, Facebook, TLS v1.1</t>
  </si>
  <si>
    <t>En, Ru</t>
  </si>
  <si>
    <t>FASTPASSCORP A/S</t>
  </si>
  <si>
    <t>DK25536606</t>
  </si>
  <si>
    <t>Gladsaxevej 376, st. th.</t>
  </si>
  <si>
    <t>www.fastpasscorp.com</t>
  </si>
  <si>
    <t>Software,Identity Management,Information Technology,Cyber Security,SaaS,Web Apps,Security,Data Security</t>
  </si>
  <si>
    <t>https://app.vainu.io/vainu/prospect/1731121/</t>
  </si>
  <si>
    <t>PHP, Linkedin Analytics / Advertisement Pixel, Intranet, Gravatar, TLS v1.2, Google analytics, Website, Office365 email, SSL/TLS, Jquery, Twitter, Outlook, Microsoft exchange, Tab Icon, Wordpress, TLS v1.0, Hotjar, Linkedin Data Partner, Linkedin Insight Tag, Facebook pixel, Nginx, Livechat, Form Html Element, Youtube, Linkedin, _("Responsive"), Disqus, Google Site Verification, Extranet, Contact Form 7 Wordpress Plugin, NitroPack, Gravity Forms, Youtube Embed, Active Campaign, Javascript, Facebook, TLS v1.1</t>
  </si>
  <si>
    <t>FLEXPOS ApS</t>
  </si>
  <si>
    <t>DK34592403</t>
  </si>
  <si>
    <t>Ved Lunden 10</t>
  </si>
  <si>
    <t>www.flexpos.com</t>
  </si>
  <si>
    <t>Consumer Software,Software,Information Technology,Computer,Point of Sale,SaaS</t>
  </si>
  <si>
    <t>https://app.vainu.io/vainu/prospect/6688100/</t>
  </si>
  <si>
    <t>Global Site Tag, PHP, Bootstrap, MasterCard, Font awesome, CloudFront, TLS v1.2, Google analytics, Website, Office365 email, Microsoft IIS, SSL/TLS, Jquery, Microsoft IIS 10.0, Twitter, Danish, Outlook, Office 365, Microsoft exchange, Faroese, Amazon CloudFront, Dankort, Mobilepay, Tab Icon, Google tag manager, Html5, TLS v1.0, Slack, German, Google font api, Facebook pixel, Nginx, Swedish, Sleeknote, Norwegian, Amazon web services, Microsoft Word, Form Html Element, English, Youtube, Linkedin, _("Responsive"), Google Site Verification, Zendesk, Opencart, particles.js, _("Online_Store"), Youtube Embed, Active Campaign, Javascript, Facebook, TLS v1.1</t>
  </si>
  <si>
    <t>FORECAST APS</t>
  </si>
  <si>
    <t>DK38019651</t>
  </si>
  <si>
    <t>Valkendorfsgade 13</t>
  </si>
  <si>
    <t>https://www.forecast.app/</t>
  </si>
  <si>
    <t>Virtual Workforce,Artificial Intelligence,Software,Application Performance Management,Information Technology,Task Management,Project Management,SaaS,Management Information Systems,Enterprise,Collaboration,Productivity Tools,Enterprise Software,Scheduling</t>
  </si>
  <si>
    <t>https://app.vainu.io/vainu/prospect/640119626/</t>
  </si>
  <si>
    <t>PHP, Linkedin Analytics / Advertisement Pixel, Instagram, TLS v1.2, Website, Slick, SSL/TLS, Jquery, Amplitude, Twitter, Amazon CloudFront, Cloudflare, Tab Icon, Wordpress, Google tag manager, Chili Piper, Html5, Google play, Pinterest, GoToWebinar, Google font api, Addthis, Lightbox, Hubspot CMS, Hubspot Email, Vidyard, Facebook Share Button Plugin, Amazon web services, Form Html Element, Vimeo, Linkedin Sign-in, Youtube, Linkedin, Google Plus, Hubspot Live Chat, HubSpot CMS Hub, Google Site Verification, _("Responsive"), Blog, Hubspot Marketing Hub, Gmail, Hubspot, Sendgrid, Hubspot Forms, Youtube Embed, Javascript, Facebook</t>
  </si>
  <si>
    <t>FacilityNet ApS</t>
  </si>
  <si>
    <t>DK32944469</t>
  </si>
  <si>
    <t>Sluseholmen 1, 1.</t>
  </si>
  <si>
    <t>facilitynet.io</t>
  </si>
  <si>
    <t>Meeting Software,Software,Information Technology,SaaS,Hospitality,Scheduling</t>
  </si>
  <si>
    <t>https://app.vainu.io/vainu/prospect/6672130/</t>
  </si>
  <si>
    <t>PHP, Bootstrap, Font awesome, Intranet, TLS v1.2, Website, Office365 email, SSL/TLS, Jquery, Twitter, Outlook, Flash video, Adobe Typekit, Leadfeeder, Google maps, Microsoft exchange, Dankort, Mobilepay, Divi 4.9, Wordpress, Tab Icon, jQuery Migrate, Flash, TLS v1.0, WordPress 5.6, Google font api, Nginx, Zendesk Chat, Cookiebot, Amazon web services, Form Html Element, Vimeo, Flickr, Mysql, Linkedin, Bootstrap 4.5, _("Responsive"), Divi, WordPress 5, Youtube Embed, Javascript, Facebook, TLS v1.1</t>
  </si>
  <si>
    <t>Falcon.io ApS</t>
  </si>
  <si>
    <t>DK33362226</t>
  </si>
  <si>
    <t>H.C. Andersens Boulevard 27, 1.</t>
  </si>
  <si>
    <t>https://www.falcon.io/</t>
  </si>
  <si>
    <t>Software,Marketing Automation,Twitter,Social Media Marketing,Analytics,Digital Marketing,Social Media Advertising,Social CRM,SaaS,Local Advertising,Content Marketing,Advertising,Content Discovery,Social Media Management,Marketing,Social Media,Google,Linkedin,Facebook</t>
  </si>
  <si>
    <t>https://app.vainu.io/vainu/prospect/6590539/</t>
  </si>
  <si>
    <t>Pubmatic, PHP, Ipify, Google adwords, Doubleclick, Linkedin Analytics / Advertisement Pixel, Instagram, Intranet, TLS v1.2, Google analytics, Gravatar, Office365 email, SSL/TLS, Jquery, Amazon SES, Website, Twitter, Mailchimp, Appcues, Outlook, WP Engine, Bizible, Wistia, Office 365, Rubicon Project, Atlassian Domain Verification, Microsoft exchange, Cloudflare, Tab Icon, Wordpress, Outbrain, Cookielaw, Google tag manager, Html5, Marketo, Google play, TLS v1.0, AMP, Stripe Online Payments, Marketo Forms 2, Drift Chat, Snapchat, Marketo Forms, Detectify, Facebook Share Button Plugin, Youtube Embed, Form Html Element, Stripe, Mysql, Youtube, Segment, _("Responsive"), Google Site Verification, Extranet, Zendesk, Blog, Sendgrid, Contentful, Linkedin, Javascript, Facebook, TLS v1.1</t>
  </si>
  <si>
    <t>Faundit ApS</t>
  </si>
  <si>
    <t>DK40990062</t>
  </si>
  <si>
    <t>Nørre Allé 70A, 1.</t>
  </si>
  <si>
    <t>https://faundit.com/</t>
  </si>
  <si>
    <t>Software,Information Technology,Service Industry,SaaS,Logistics,Transportation,Travel</t>
  </si>
  <si>
    <t>https://app.vainu.io/vainu/prospect/1892191787/</t>
  </si>
  <si>
    <t>Global Site Tag, Facebook Domain Verification, PHP, Linkedin Analytics / Advertisement Pixel, React, Ghost, TLS v1.2, Google analytics, Website, SSL/TLS, Jquery, Twitter, Gatsby, Gatsby 2.18, Cowboy, Spot.Im / Disgus, Mixpanel Analytics, UNPKG, Ghost 3.2, Webpack, Tab Icon, Wordpress, Google tag manager, Html5, TLS v1.0, Hotjar, Linkedin Data Partner, Slack, Linkedin Insight Tag, Stripe Online Payments, Heroku, Node.js, Google font api, Facebook pixel, Netlify, Express, Facebook Share Button Plugin, Form Html Element, Stripe, Vimeo, Linkedin, Hubspot Live Chat, Segment, _("Responsive"), Disqus, Google Site Verification, Blog, Hubspot Analytics, Gmail, Ahrefs SEO tools, Youtube Embed, cloudinary, Javascript, Facebook, TLS v1.1</t>
  </si>
  <si>
    <t>Feedbackbox ApS</t>
  </si>
  <si>
    <t>DK39935082</t>
  </si>
  <si>
    <t>c/o Jeppe Søndergaard  Østre Havnevej 17B</t>
  </si>
  <si>
    <t>SVENDBORG</t>
  </si>
  <si>
    <t>feedbackbox.dk</t>
  </si>
  <si>
    <t>Virtual Workforce,Artificial Intelligence,Software,Semantic Web,Information Technology,Enterprise Software,Management Information Systems,SaaS,Enterprise,Productivity Tools,Analytics</t>
  </si>
  <si>
    <t>https://app.vainu.io/vainu/prospect/1412396811/</t>
  </si>
  <si>
    <t>Global Site Tag, PHP, Bootstrap, Font awesome, Linkedin Analytics / Advertisement Pixel, Gravatar, TLS v1.2, Google analytics, Website, SSL/TLS, Jquery, Tab Icon, Wordpress, jQuery Migrate, Google tag manager, TLS v1.0, Linkedin Data Partner, WordPress 5.7, Linkedin Insight Tag, Google font api, Facebook pixel, Form Html Element, Vimeo, Mysql, Smartsupp Chat, Bootstrap 4.0, _("Responsive"), WordPress 5, _("Online_Store"), Apache, WordPress 5.3, Contact Form 7 Wordpress Plugin, Youtube Embed, Javascript, Facebook, TLS v1.1</t>
  </si>
  <si>
    <t>FeedsFloor ApS</t>
  </si>
  <si>
    <t>DK37688932</t>
  </si>
  <si>
    <t>Sallingvej 18, 3. tv.</t>
  </si>
  <si>
    <t>VANLØSE</t>
  </si>
  <si>
    <t>www.feedsfloor.com</t>
  </si>
  <si>
    <t>Small and Medium Businesses,Crowdsourcing,B2B,B2C,Software,Online Portals,Local Business,Online Forums,Internet,SaaS,E-Commerce,Marketplace</t>
  </si>
  <si>
    <t>https://app.vainu.io/vainu/prospect/392380836/</t>
  </si>
  <si>
    <t>PHP, Apache 2.4, Php 7.3, Vkontakte, Dropbox, Bootstrap, mod_fcgid, Instagram, Force.com, Website, Jquery, Tumblr, Twitter, Drupal 7, Google adsense, Drupal, Viber Public Chat, Tab Icon, Wordpress, Html5, Viber Share Button, Centos, Slack, Pinterest, Facebook Like Button Plugin, OpenSSL 1.0, Matomo, Snapchat, Zendesk Chat, Microsoft Word, Form Html Element, Vimeo, Flickr, Youtube, Google Plus, POWr, _("Responsive"), AddToAny, Zendesk, Openssl, _("Online_Store"), Apache, Civicrm, Mod_Fcgid 2.3, Youtube Embed, Javascript, Facebook</t>
  </si>
  <si>
    <t>Ar, En, Da, De</t>
  </si>
  <si>
    <t>Fenerum ApS</t>
  </si>
  <si>
    <t>DK40430989</t>
  </si>
  <si>
    <t>c/o Plecto ApS  Viby Ringvej 11, 1. tv.</t>
  </si>
  <si>
    <t>VIBY J</t>
  </si>
  <si>
    <t>fenerum.com</t>
  </si>
  <si>
    <t>Small and Medium Businesses,Payments,Consumer Software,Software,FinTech,Accounting,Information Technology,SaaS,Financial Services,Billing,Management Information Systems</t>
  </si>
  <si>
    <t>https://app.vainu.io/vainu/prospect/1584746540/</t>
  </si>
  <si>
    <t>PHP, Webflow, Bootstrap, MasterCard, Linkedin Analytics / Advertisement Pixel, React, Website, Google analytics, Django, Jquery, Salesforce, Python, Adobe Typekit, Embed.Ly, Cowboy, Dankort, Mobilepay, Tab Icon, Google tag manager, Varnish, Linkedin Data Partner, Slack, Linkedin Insight Tag, Bootstrap 4/5.0, AmazonS, Intercom Articles, Google font api, Heroku, Facebook pixel, Nginx, ActiveCampaign, New relic, Cookiebot, Amazon web services, Form Html Element, Moment.js, _("Responsive"), Google Site Verification, Intercom, Castle Accont Takeout Prevention, Gmail, Openresty, Linkedin, Active Campaign, Javascript, Facebook</t>
  </si>
  <si>
    <t>FlowStack ApS</t>
  </si>
  <si>
    <t>DK37837210</t>
  </si>
  <si>
    <t>Tuborg Boulevard 12</t>
  </si>
  <si>
    <t>HELLERUP</t>
  </si>
  <si>
    <t>flowstack.com</t>
  </si>
  <si>
    <t>Small and Medium Businesses,CRM,Sales Automation,B2B,Software,Information Technology,Marketing Automation,SaaS,Sales</t>
  </si>
  <si>
    <t>https://app.vainu.io/vainu/prospect/610937477/</t>
  </si>
  <si>
    <t>Purechat, Facebook Domain Verification, Apache 2.4, PHP, Vkontakte, Ubuntu, Bootstrap, Font awesome, TLS v1.2, Google analytics, Website, SSL/TLS, Jquery, Tumblr, Twitter, Viber Public Chat, Osano, Tab Icon, jQuery Migrate, Flash, Html5, Viber Share Button, TLS v1.0, Prism, Modernizr, Slack, German, Node.js, Facebook Like Button Plugin, Google font api, Lightbox, Facebook pixel, Nginx, animate.css, Popper, Express, Facebook Share Button Plugin, Youtube Embed, Norwegian, Whatsapp Website Icon, Form Html Element, Vimeo, Prettyphoto, English, Youtube, _("Responsive"), Google Site Verification, SparkPost, TLS problem, Popper 1.14, MaxMind, particles.js, Cookie Consent By Insites, Apache, OWL Carousel, Gmail, Pure css, Linkedin, Active Campaign, Javascript, Facebook, TLS v1.1</t>
  </si>
  <si>
    <t>Sv, No, En, Da, la, De</t>
  </si>
  <si>
    <t>FollowAct IVS</t>
  </si>
  <si>
    <t>DK36396237</t>
  </si>
  <si>
    <t>c/o DecideAct ApS  Snellemark 30</t>
  </si>
  <si>
    <t>RØNNE</t>
  </si>
  <si>
    <t>followact.com</t>
  </si>
  <si>
    <t>Virtual Workforce,Software,Information Technology,Project Management,SaaS,Enterprise,Collaboration,Productivity Tools,Management Information Systems</t>
  </si>
  <si>
    <t>https://app.vainu.io/vainu/prospect/6835319/</t>
  </si>
  <si>
    <t>Icelandic, PHP, AngularJS 1.2, Bootstrap, Font awesome, TLS v1.2, Website, Highcharts, Office365 email, SSL/TLS, Jquery, Danish, Bootstrap 3.2, Twitter, Outlook, Office 365, Microsoft exchange, Underscore.js, Cloudflare, Tab Icon, Wordpress, jQuery Migrate, Flash, Html5, TLS v1.0, Xhtml, Bootstrap 4, Wordpress 4, Google font api, Swedish, Angularjs, Norwegian, jsDelivr, Form Html Element, Vimeo, English, Mysql, Moment.js, Google Plus, _("Responsive"), _("Online_Store"), Contact Form 7 Wordpress Plugin, Jquery ui, jQuery UI 1.10, Youtube Embed, Javascript, TLS v1.1</t>
  </si>
  <si>
    <t>Sv, En, Da, Is, Nb, nn</t>
  </si>
  <si>
    <t>Freightsolution ApS</t>
  </si>
  <si>
    <t>DK40109536</t>
  </si>
  <si>
    <t>Birk Centerpark 40</t>
  </si>
  <si>
    <t>freightsolution.io</t>
  </si>
  <si>
    <t>API,Software,Information Technology,SaaS,Logistics,Transportation</t>
  </si>
  <si>
    <t>https://app.vainu.io/vainu/prospect/1514903733/</t>
  </si>
  <si>
    <t>Global Site Tag, PHP, Vkontakte, Bootstrap, Font awesome, Linkedin Analytics / Advertisement Pixel, TLS v1.2, Google analytics, Slick, Microsoft IIS, SSL/TLS, Jquery, Tumblr, Website, Twitter, Microsoft IIS 10.0, Microsoft asp.net, Tab Icon, jQuery Migrate, Google tag manager, Qzone, Hotjar, Linkedin Data Partner, Slack, Pinterest, Linkedin Insight Tag, Google font api, animate.css, ActiveCampaign, Snapchat, Facebook Share Button Plugin, Whatsapp Website Icon, Form Html Element, Vimeo, Moment.js, Linkedin, Google Plus, _("Responsive"), Google Site Verification, TripAdvisor, Gmail, Hubspot, Choices, Youtube Embed, Active Campaign, Javascript, Facebook</t>
  </si>
  <si>
    <t>Front Desk ApS</t>
  </si>
  <si>
    <t>DK25988981</t>
  </si>
  <si>
    <t>Mileparken 22</t>
  </si>
  <si>
    <t>SKOVLUNDE</t>
  </si>
  <si>
    <t>frontdesksuite.com</t>
  </si>
  <si>
    <t>Software,Information Technology,SaaS,Enterprise Software,Scheduling</t>
  </si>
  <si>
    <t>https://app.vainu.io/vainu/prospect/1679657/</t>
  </si>
  <si>
    <t>PHP, Instagram, TLS v1.2, Google analytics, Slick, Office365 email, Danish, SSL/TLS, Jquery, Website, Outlook, Microsoft exchange, UNPKG, Tab Icon, Wordpress, Google tag manager, TLS v1.0, German, Form Html Element, Vimeo, English, Mysql, Youtube, Linkedin, Hubspot Live Chat, _("Responsive"), Hubspot Analytics, Apache, Recaptcha, Hubspot, Sendgrid, Hubspot Forms, Gravity Forms, Youtube Embed, Javascript, TLS v1.1</t>
  </si>
  <si>
    <t>En, la, Da, De</t>
  </si>
  <si>
    <t>Global CRM I/S</t>
  </si>
  <si>
    <t>DK34017751</t>
  </si>
  <si>
    <t>Bjergbyvej 77</t>
  </si>
  <si>
    <t>www.globalcrm.dk</t>
  </si>
  <si>
    <t>CRM,SaaS,Software</t>
  </si>
  <si>
    <t>https://app.vainu.io/vainu/prospect/6674883/</t>
  </si>
  <si>
    <t>PHP, Vkontakte, Bootstrap, Font awesome, Website, SSL/TLS, Jquery, Tumblr, Swiper Slider, Salesforce, Elementor, WooCommerce 5.5, Tab Icon, Wordpress, Varnish, jQuery Migrate, Html5, Varnish 6.6, TLS v1.0, Slack, Google font api, Woocommerce, Whatsapp Website Icon, Form Html Element, Vimeo, Mysql, Youtube, Linkedin, Google Plus, _("Responsive"), WordPress 5, _("Online_Store"), Apache, Gmail, Recaptcha, Youtube Embed, Javascript, Facebook, TLS v1.1</t>
  </si>
  <si>
    <t>God Arbejdslyst</t>
  </si>
  <si>
    <t>DK35917624</t>
  </si>
  <si>
    <t>c/o Line Almosetoft  Hækmosen 33</t>
  </si>
  <si>
    <t>HERLEV</t>
  </si>
  <si>
    <t>gais.dk</t>
  </si>
  <si>
    <t>SaaS,Software,Human Resources</t>
  </si>
  <si>
    <t>https://app.vainu.io/vainu/prospect/13203243/</t>
  </si>
  <si>
    <t>Global Site Tag, PHP, Bootstrap, Linkedin Analytics / Advertisement Pixel, Intranet, Gravatar, TLS v1.2, Google analytics, Slick, Microsoft IIS, Office365 email, SSL/TLS, Jquery, Website, Microsoft IIS 10.0, Litespeed, Wp rocket, SendinBlue, Outlook, Microsoft asp.net, Office 365, Microsoft exchange, UNPKG, GeneratePress, Yoast SEO, Wordpress, Tab Icon, jQuery Migrate, Google tag manager, TLS v1.0, Linkedin Data Partner, Bootstrap 0d4bb8333f6a409a76022fdc395ed63e, WordPress 5.7, Linkedin Insight Tag, Google font api, GlobalSign, Facebook pixel, Sleeknote, Form Html Element, Mysql, Youtube, _("Responsive"), Google Site Verification, WordPress 5, Yoast SEO 17.0, GeneratePress 3.0, Gravity Forms 2.5, Recaptcha, Contentful, Gravity Forms, Youtube Embed, Javascript, Facebook, TLS v1.1</t>
  </si>
  <si>
    <t>GoodMonday ApS</t>
  </si>
  <si>
    <t>DK39292386</t>
  </si>
  <si>
    <t>Landgreven 3, 1. th.</t>
  </si>
  <si>
    <t>goodmonday.io</t>
  </si>
  <si>
    <t>Small and Medium Businesses,Facility Management,Software,Local Business,Contact Management,Scheduling,Office Administration,B2B,SaaS,Business Information Systems,Productivity Tools,Enterprise Software,Franchise,Virtual Workforce,B2C,Information Technology,Internet,Service Industry,Customer Service,Enterprise,Management Information Systems</t>
  </si>
  <si>
    <t>https://app.vainu.io/vainu/prospect/1136453445/</t>
  </si>
  <si>
    <t>Linkedin Analytics / Advertisement Pixel, Instagram, TLS v1.2, Website, Mailchimp, SSL/TLS, Jquery, Amazon SES, Tab Icon, Google tag manager, Nuxt.js, TLS v1.0, Linkedin Data Partner, Xhtml, Linkedin Insight Tag, Node.js, Google font api, Netlify, Amazon web services, Form Html Element, Vimeo, _("Responsive"), Google Site Verification, Gmail, Linkedin, Vue.js, Javascript, Facebook, TLS v1.1</t>
  </si>
  <si>
    <t>No, En, Da</t>
  </si>
  <si>
    <t>GoodiePack ApS</t>
  </si>
  <si>
    <t>DK37197572</t>
  </si>
  <si>
    <t>Kjellerupsgade 24</t>
  </si>
  <si>
    <t>GoodiePack.com</t>
  </si>
  <si>
    <t>B2B,B2C,Software,E-Commerce,Digital Marketing,Events,Reservations,Customer Service,SaaS,Event Management,Hospitality</t>
  </si>
  <si>
    <t>https://app.vainu.io/vainu/prospect/8124408/</t>
  </si>
  <si>
    <t>PHP, Vkontakte, Bootstrap, Font awesome, Instagram, Gravatar, TLS v1.2, Google analytics, Website, SSL/TLS, Jquery, Tumblr, Twitter, Swiper Slider, WordPress 5.8, Elementor, Underscore.js, Bootstrap 3.4, Cloudflare, Mobilepay, Tab Icon, Wordpress, Varnish, Bootstrap 1.8, jQuery Migrate, Html5, Varnish 6.6, TLS v1.0, Hotjar, Slack, Google font api, Facebook pixel, Mailgun, Form Html Element, Whatsapp Website Icon, Vimeo, Mysql, Linkedin, Google Plus, _("Responsive"), Google Site Verification, Underscore.js 1.13, WordPress 5, particles.js, Apache, Gmail, Youtube Embed, Javascript, Facebook, TLS v1.1</t>
  </si>
  <si>
    <t>Group Caliber ApS</t>
  </si>
  <si>
    <t>DK39314320</t>
  </si>
  <si>
    <t>Vestergade 29</t>
  </si>
  <si>
    <t>www.groupcaliber.com</t>
  </si>
  <si>
    <t>Software,Reputation,Marketing,SaaS,Analytics,Market Research</t>
  </si>
  <si>
    <t>https://app.vainu.io/vainu/prospect/1041507755/</t>
  </si>
  <si>
    <t>Global Site Tag, PHP, Apache 2.4, Bootstrap, Font awesome, Linkedin Analytics / Advertisement Pixel, Force.com, Yoast SEO 16.4, TLS v1.2, Google analytics, Website, Office365 email, SSL/TLS, Jquery, Brightcove, Twitter, Appcues, Outlook, Revslider, Office 365, Microsoft exchange, UNPKG, Twitter Ads, Cloudflare, Yoast SEO, Wordpress, Tab Icon, Google tag manager, TLS v1.0, Linkedin Data Partner, Linkedin Insight Tag, Debian, GoToWebinar, Google font api, Hubspot CMS, FullStory, animate.css, Facebook pixel, Cookiebot, Javascript, Youtube Embed, Form Html Element, Vimeo, jQuery UI 1.12, Mysql, Bootstrap 4.0, Youtube, Linkedin Sign-in, Hubspot Live Chat, _("Responsive"), Google Site Verification, WordPress 5, Monsterinsights, Hubspot Leadflows, Hubspot Analytics, Apache, OWL Carousel, Contact Form 7 Wordpress Plugin, Jquery ui, Hubspot, Hubspot Forms, Revslider 5.4, Linkedin, Hubspot Ads Pixel, Facebook, TLS v1.1</t>
  </si>
  <si>
    <t>HR-ON ApS</t>
  </si>
  <si>
    <t>DK34474540</t>
  </si>
  <si>
    <t>Østre Stationsvej 27, 3.</t>
  </si>
  <si>
    <t>hr-on.com</t>
  </si>
  <si>
    <t>Talent Management,Software,Information Technology,Social Recruiting,Human Resources,SaaS,Employment,Recruiting,Enterprise Software</t>
  </si>
  <si>
    <t>https://app.vainu.io/vainu/prospect/6785579/</t>
  </si>
  <si>
    <t>Global Site Tag, PHP, Linkedin Analytics / Advertisement Pixel, Instagram, TLS v1.2, Google analytics, Website, Mailchimp, Danish, SSL/TLS, Jquery, Tumblr, Twitter, Google maps, Amazon CloudFront, Tab Icon, Wordpress, Google tag manager, Flash, TLS v1.0, Linkedin Data Partner, German, Linkedin Insight Tag, Pinterest, wpBakery, French, Google font api, Facebook pixel, Nginx, Cookiebot, Facebook Share Button Plugin, Youtube Embed, Amazon web services, Hr Skyen, Form Html Element, Vimeo, Japanese, Mysql, English, Youtube, Google Plus, _("Responsive"), Google Site Verification, WordPress 5, _("Online_Store"), Apache, Gmail, Recaptcha, Contact Form 7 Wordpress Plugin, Spanish, Linkedin, Javascript, Facebook, TLS v1.1</t>
  </si>
  <si>
    <t>En, Da, Ja, De, Fr, Es</t>
  </si>
  <si>
    <t>HUMANPIXELS ApS</t>
  </si>
  <si>
    <t>DK31499488</t>
  </si>
  <si>
    <t>Frederiksgade 78A, st.</t>
  </si>
  <si>
    <t>www.humanpixels.com</t>
  </si>
  <si>
    <t>Software,Information Technology,Project Management,SaaS,Business Information Systems,Productivity Tools,Management Information Systems</t>
  </si>
  <si>
    <t>https://app.vainu.io/vainu/prospect/22388685/</t>
  </si>
  <si>
    <t>Global Site Tag, Bootstrap, Font awesome, Website, Google analytics, Microsoft IIS, Jquery, Microsoft asp.net, Dynamicweb 9, Tab Icon, Google tag manager, Modernizr, Google font api, animate.css, jsDelivr, Form Html Element, Bootstrap 4.5, Dynamicweb, _("Responsive"), Google Site Verification, Gmail, Linkedin, Javascript, Facebook, Microsoft IIS 8.5</t>
  </si>
  <si>
    <t>Handsonsimply.dk Aps</t>
  </si>
  <si>
    <t>DK35827218</t>
  </si>
  <si>
    <t>Eggersvej 3</t>
  </si>
  <si>
    <t>handsonsimply.dk</t>
  </si>
  <si>
    <t>Construction,Software,Information Technology,Document Management,SaaS</t>
  </si>
  <si>
    <t>https://app.vainu.io/vainu/prospect/23271447/</t>
  </si>
  <si>
    <t>Global Site Tag, PHP, Vkontakte, Underscore.js 1.8, MasterCard, Font awesome, Linkedin Analytics / Advertisement Pixel, Bootstrap, TLS v1.2, Google analytics, Website, SSL/TLS, Jquery, Tumblr, Yoast SEO 16.7, Swiper Slider, Visa, Elementor, Underscore.js, Yoast SEO, Wordpress, Tab Icon, Google tag manager, Html5, Google play, TLS v1.0, Modernizr, Linkedin Data Partner, WordPress 5.7, Linkedin Insight Tag, American Express, Sydney 20200504, Facebook Like Button Plugin, Google font api, Facebook pixel, webCRM, Youtube Embed, jsDelivr, Form Html Element, Whatsapp Website Icon, Vimeo, Mysql, Youtube, Google Plus, _("Responsive"), Google Site Verification, Sydney, WordPress 5, Backbone.js, Apache, Gmail, Linkedin, Javascript, Facebook, TLS v1.1</t>
  </si>
  <si>
    <t>Happy Helper A/S</t>
  </si>
  <si>
    <t>DK36711515</t>
  </si>
  <si>
    <t>Gammel Kongevej 1, 4. tv.</t>
  </si>
  <si>
    <t>www.happyhelper.dk</t>
  </si>
  <si>
    <t>Sharing Economy,Online Portals,FinTech,Video,Education,Online Forums,Internet,Social,SaaS,Financial Services,Home Services,Subscription Service</t>
  </si>
  <si>
    <t>https://app.vainu.io/vainu/prospect/6618238/</t>
  </si>
  <si>
    <t>PHP, MasterCard, Instagram, Smartyads, TLS v1.2, Google analytics, Website, Mailchimp, SSL/TLS, Jquery, Danish, Twitter, Visa, Google maps, Booking Widget (All), Cloudflare, Dankort, Tab Icon, Google tag manager, Html5, TLS v1.0, Node.js, Nginx, Zendesk Chat, Cookiebot, Express, Shopify, Form Html Element, Vimeo, English, Linkedin, Youtube, _("Responsive"), Google Site Verification, Zendesk, _("Online_Store"), Gmail, Youtube Embed, Javascript, Facebook, TLS v1.1</t>
  </si>
  <si>
    <t>Hello Retail ApS</t>
  </si>
  <si>
    <t>DK32449743</t>
  </si>
  <si>
    <t>Vesterbrogade 6D, 9.</t>
  </si>
  <si>
    <t>https://helloretail.com</t>
  </si>
  <si>
    <t>Artificial Intelligence,Personalization,B2C,Software,Retail Technology,Product Search,SaaS,E-Commerce,Machine Learning</t>
  </si>
  <si>
    <t>https://app.vainu.io/vainu/prospect/6918236/</t>
  </si>
  <si>
    <t>Facebook Domain Verification, PHP, Vkontakte, Font awesome, React, Instagram, Gravatar, TLS v1.2, Website, Slick, Mailchimp, SSL/TLS, Jquery, Tumblr, Amplitude, Swiper Slider, Google Firebase, Plesk, Flash video, Elementor, Wistia, Spot.Im / Disgus, Cloudflare, Tab Icon, Wordpress, jQuery Migrate, Google tag manager, Html5, Hotjar, Google font api, Nginx, Youtube Embed, Amazon web services, Form Html Element, Whatsapp Website Icon, Vimeo, Mysql, Google Plus, _("Responsive"), Google Site Verification, Opencart, particles.js, Cookie Consent By Insites, _("Online_Store"), Gmail, Recaptcha, Contact Form 7 Wordpress Plugin, Uikit, Linkedin, Active Campaign, Javascript, Facebook</t>
  </si>
  <si>
    <t>Hexio ApS</t>
  </si>
  <si>
    <t>DK42107980</t>
  </si>
  <si>
    <t>Sdr.Stationsvej 26, 2.</t>
  </si>
  <si>
    <t>https://hexio.dk</t>
  </si>
  <si>
    <t>API,Consumer Software,Software,Semantic Web,Online Portals,Information Technology,Internet,Web Browsers,Developer Tools,SaaS,Productivity Tools,Developer APIs</t>
  </si>
  <si>
    <t>https://app.vainu.io/vainu/prospect/2324551639/</t>
  </si>
  <si>
    <t>PHP, Gravatar, TLS v1.2, Google analytics, Website, SSL/TLS, Jquery, Litespeed, Litespeed Cache, Tab Icon, Wordpress, Google tag manager, ConvertKit, TLS v1.0, Google font api, Site Kit 1.19, Site Kit, Vimeo, Mysql, _("Responsive"), Google Site Verification, WordPress 5, Gmail, Choices, Youtube Embed, Javascript, Facebook, TLS v1.1</t>
  </si>
  <si>
    <t>Hypefactors A/S</t>
  </si>
  <si>
    <t>DK36682604</t>
  </si>
  <si>
    <t>c/o Integral A/S  Kronprinsessegade 8B, 4.</t>
  </si>
  <si>
    <t>https://hypefactors.com/</t>
  </si>
  <si>
    <t>Software,Information Technology,Analytics,Marketing,Social Media,SaaS,Public Relations,Enterprise Software</t>
  </si>
  <si>
    <t>https://app.vainu.io/vainu/prospect/18746274/</t>
  </si>
  <si>
    <t>Global Site Tag, Polish, PHP, Intranet, Gravatar, TLS v1.2, Google analytics, Website, Mailchimp, SSL/TLS, Jquery, Amazon SES, Danish, Twitter, WP Engine, Adobe Typekit, Leadfeeder, Tab Icon, Wordpress, Google tag manager, Google play, TLS v1.0, Slack, German, Portuguese, French, Google font api, Nginx, ActiveCampaign, Netlify, Finnish, Swedish, Norwegian, Form Html Element, English, Mysql, Youtube, Linkedin, _("Responsive"), Google Site Verification, Italian, Gmail, Spanish, Youtube Embed, Active Campaign, Javascript, Facebook, TLS v1.1</t>
  </si>
  <si>
    <t>Sv, No, En, Da, Pt, It, De, Fr, Es, Pl, Fi</t>
  </si>
  <si>
    <t>IEX ApS</t>
  </si>
  <si>
    <t>DK35527710</t>
  </si>
  <si>
    <t>Herstedvang 7A, 2. th.</t>
  </si>
  <si>
    <t>ALBERTSLUND</t>
  </si>
  <si>
    <t>https://iex.dk/</t>
  </si>
  <si>
    <t>Small and Medium Businesses,B2B,Software,FinTech,Accounting,Information Technology,SaaS,Financial Services,E-Commerce,Business Information Systems</t>
  </si>
  <si>
    <t>https://app.vainu.io/vainu/prospect/21275640/</t>
  </si>
  <si>
    <t>PHP, Vkontakte, MasterCard, Font awesome, Instagram, TLS v1.2, Website, Slick, SSL/TLS, Jquery, Tumblr, Twitter, Visa, Swiper Slider, Instafeed, Elementor, Atlassian Domain Verification, Dankort, Tab Icon, Wordpress, jQuery Migrate, Html5, TLS v1.0, Google font api, GlobalSign, Youtube Embed, Whatsapp Website Icon, Form Html Element, Vimeo, Mysql, Google Plus, Prestashop, _("Responsive"), Google Site Verification, WordPress 5, Intercom, Zendesk, Opencart, Blog, _("Online_Store"), Apache, Gmail, Recaptcha, Contact Form 7 Wordpress Plugin, Trustpilot, Linkedin, Javascript, Facebook, TLS v1.1</t>
  </si>
  <si>
    <t>IMPERO A/S</t>
  </si>
  <si>
    <t>DK32326676</t>
  </si>
  <si>
    <t>Klamsagervej 27, 2.</t>
  </si>
  <si>
    <t>www.impero.com</t>
  </si>
  <si>
    <t>API,Compliance,Software,FinTech,Risk Management,Information Technology,SaaS,Financial Services,Enterprise,Management Information Systems,Enterprise Software</t>
  </si>
  <si>
    <t>https://app.vainu.io/vainu/prospect/5827857/</t>
  </si>
  <si>
    <t>PHP, Font awesome, Instagram, Gravatar, TLS v1.2, Google analytics, Website, Office365 email, SSL/TLS, Jquery, Mailchimp, Outlook, WordPress 5.8, Adobe Typekit, Elementor, Office 365, Microsoft exchange, Booking Widget (All), Cloudflare, Tab Icon, Wordpress, jQuery Migrate, Google tag manager, Html5, TLS v1.0, German, GoToWebinar, Google font api, Hubspot CMS, Nginx, Cookiebot, Javascript, Form Html Element, Vimeo, English, Mysql, Youtube, HubSpot CMS Hub, Typekit, _("Responsive"), WordPress 5, Hubspot Leadflows, Hubspot Analytics, Rocket, Recaptcha, Hubspot, Sendgrid, Hubspot Forms, Linkedin, Hubspot Ads Pixel, Facebook, TLS v1.1</t>
  </si>
  <si>
    <t>INNOMATE A/S</t>
  </si>
  <si>
    <t>DK15882271</t>
  </si>
  <si>
    <t>Ørestads Boulevard 73</t>
  </si>
  <si>
    <t>www.innomate.com</t>
  </si>
  <si>
    <t>Virtual Workforce,Software,Information Technology,Human Resources,Enterprise Software,SaaS,Management Information Systems</t>
  </si>
  <si>
    <t>https://app.vainu.io/vainu/prospect/1647268/</t>
  </si>
  <si>
    <t>PHP, Concrete5, Bootstrap, Font awesome, Linkedin Analytics / Advertisement Pixel, Intranet, TLS v1.2, Google analytics, Website, Microsoft IIS, SSL/TLS, Jquery, Outlook, Microsoft asp.net, Office 365, Microsoft exchange, Microsoft IIS 7.5, Concrete CMS 5.7, Microsoft ASP.NET 4.0, Tab Icon, Linkedin Data Partner, Slack, Linkedin Insight Tag, Google font api, Addthis, animate.css, Progress Sitefinity, webCRM, Microsoft Word, Form Html Element, Vimeo, Youtube, Linkedin, _("Responsive"), Google Site Verification, Blog, OWL Carousel, Concrete CMS, Aurelia, Sendgrid, Youtube Embed, Javascript</t>
  </si>
  <si>
    <t>INTEMPUS ApS</t>
  </si>
  <si>
    <t>DK34696977</t>
  </si>
  <si>
    <t>Staunings Plads 3</t>
  </si>
  <si>
    <t>https://www.intempus.dk/</t>
  </si>
  <si>
    <t>Accounting,Information Technology,SaaS,Software</t>
  </si>
  <si>
    <t>https://app.vainu.io/vainu/prospect/15420419/</t>
  </si>
  <si>
    <t>Global Site Tag, PHP, Apache 2.4, Ubuntu, Doubleclick, Font awesome, Bootstrap, Smartyads, TLS v1.2, Google analytics, Django, Gravatar, SSL/TLS, Jquery, Website, Recurly, Twitter, Mailchimp, Wp rocket, Python, Select2, Math.js, Yoast SEO, Wordpress, Tab Icon, Google tag manager, Html5, TLS v1.0, Pinterest, wpBakery, Google font api, animate.css, New relic, Youtube Embed, Form Html Element, Vimeo, Mysql, Moment.js, Youtube, _("Responsive"), WordPress 5, Yoast SEO 17.0, Intercom, Apache, Gmail, Contact Form 7 Wordpress Plugin, Jquery ui, Sendgrid, Linkedin, Javascript, Facebook, TLS v1.1</t>
  </si>
  <si>
    <t>INTRAVISION ApS</t>
  </si>
  <si>
    <t>DK19352838</t>
  </si>
  <si>
    <t>Venlighedsvej 6</t>
  </si>
  <si>
    <t>https://ontimesuite.com</t>
  </si>
  <si>
    <t>Meeting Software,Software,Information Technology,Events,SaaS,Event Management,Enterprise</t>
  </si>
  <si>
    <t>https://app.vainu.io/vainu/prospect/22562597/</t>
  </si>
  <si>
    <t>PHP, Font awesome, Intranet, TLS v1.2, Website, Slick, SSL/TLS, Tawk.To Chat, Jquery, Twitter, Plesk, Office 365, Google adsense, Osano, Element UI, Tab Icon, jQuery Migrate, Lotus domino, German, Pinterest, Java, Facebook Share Button Plugin, Japanese, Form Html Element, Vimeo, English, Lotus-domino, Youtube, Linkedin, _("Responsive"), Cookie Consent By Insites, Apache, Uikit, Youtube Embed, Vue.js, Javascript, Facebook</t>
  </si>
  <si>
    <t>IPAPER A/S</t>
  </si>
  <si>
    <t>DK29520151</t>
  </si>
  <si>
    <t>Karupvej 2D, 3. th.</t>
  </si>
  <si>
    <t>https://www.ipaper.io/</t>
  </si>
  <si>
    <t>Advertising,Personalization,B2B,B2C,Software,Digital Marketing,Product Search,Internet,Publishing,Marketing,SaaS,E-Commerce</t>
  </si>
  <si>
    <t>https://app.vainu.io/vainu/prospect/5831629/</t>
  </si>
  <si>
    <t>Global Site Tag, GitHub Pages, PHP, Bamboo HR, Webflow, Bootstrap, Font awesome, Linkedin Analytics / Advertisement Pixel, Instagram, React, TLS v1.2, Google analytics, Website, Office365 email, SSL/TLS, Jquery, Amazon SES, Mailchimp, Twitter, Ruby on rails, Outlook, Flash video, Adobe Typekit, Wistia, Google maps, Microsoft exchange, Amazon CloudFront, Cloudflare, Github.com, Tab Icon, Google tag manager, Varnish, Ruby, Html5, Hubspot Rss Feed, Hotjar, Linkedin Data Partner, Linkedin Insight Tag, GoToWebinar, Fastly, Google font api, Hubspot CMS, Hubspot Email, Nginx, Facebook pixel, Vidyard, Facebook Share Button Plugin, Youtube Embed, Amazon web services, jsDelivr, Whatsapp Website Icon, Form Html Element, Linkedin Sign-in, Bootstrap 4.5, Youtube, HubSpot CMS Hub, _("Responsive"), Google Site Verification, Atlassian Statuspage, Intercom, Blog, Hubspot Marketing Hub, Castle Accont Takeout Prevention, Recaptcha, Hubspot, Hubspot Forms, Contentful, Openresty, Linkedin, Javascript, Facebook, AMP</t>
  </si>
  <si>
    <t>Ideanote ApS</t>
  </si>
  <si>
    <t>DK36896183</t>
  </si>
  <si>
    <t>Søengen 1</t>
  </si>
  <si>
    <t>HOLTE</t>
  </si>
  <si>
    <t>https://ideanote.io/</t>
  </si>
  <si>
    <t>Small and Medium Businesses,Virtual Workforce,Crowdsourcing,B2B,Software,Product Management,Information Technology,Innovation Management,Internet,Business Development,SaaS,Management Information Systems,Enterprise,Business Information Systems,Collaboration,Productivity Tools,Enterprise Software</t>
  </si>
  <si>
    <t>https://app.vainu.io/vainu/prospect/15076335/</t>
  </si>
  <si>
    <t>Webflow, Font awesome, Intranet, TLS v1.2, Google analytics, Website, SSL/TLS, Jquery, Albacross Analytics, Twitter, Drip Ecrm, Albacross, Adobe Typekit, Embed.Ly, Polyfill, HelpDocs, UNPKG, Osano, Tab Icon, Google tag manager, Varnish, ConvertKit, Html5, TLS v1.0, Hotjar, Node.js, Google font api, Drift Chat, Nginx, Express, jsDelivr, Form Html Element, Vimeo, OpenResty 1.15, _("Responsive"), Google Sign-in, Google Site Verification, MaxMind, Highlight.js, Cookie Consent By Insites, Gmail, Ahrefs SEO tools, Openresty, Linkedin, Active Campaign, Javascript, Facebook, TLS v1.1</t>
  </si>
  <si>
    <t>IntraManager A/S</t>
  </si>
  <si>
    <t>DK33966458</t>
  </si>
  <si>
    <t>Fjordsgade 11, 1.</t>
  </si>
  <si>
    <t>intramanager.com</t>
  </si>
  <si>
    <t>Virtual Workforce,Small and Medium Businesses,Consumer Software,Software,Information Technology,Human Resources,Customer Service,SaaS,Productivity Tools,Management Information Systems,Scheduling</t>
  </si>
  <si>
    <t>https://app.vainu.io/vainu/prospect/22776363/</t>
  </si>
  <si>
    <t>Facebook Domain Verification, PHP, Instagram, Gravatar, TLS v1.2, Google analytics, Slick, Office365 email, SSL/TLS, Jquery, Amazon SES, Website, Twitter, Litespeed, Mailchimp, Swiper Slider, Outlook, WordPress 5.8, Flash video, Google maps, Microsoft exchange, Amazon CloudFront, Osano, Yoast SEO, Wordpress, Divi 4.9, Tab Icon, Flash, Google tag manager, Google play, Hubspot Meetings Plugin, TLS v1.0, Slack, AmazonS, Google font api, Youtube Embed, Amazon web services, Form Html Element, Vimeo, Yoast SEO 17.1, Mysql, Youtube, Flickr, _("Responsive"), Google Site Verification, Divi, WordPress 5, MaxMind, Smartlook, Cookie Consent By Insites, Contact Form 7 Wordpress Plugin, Jquery ui, Hubspot Sales, Linkedin, Active Campaign, Javascript, Facebook, TLS v1.1</t>
  </si>
  <si>
    <t>Ivensa ApS</t>
  </si>
  <si>
    <t>DK40497277</t>
  </si>
  <si>
    <t>Klingseyvej 15B, 1.</t>
  </si>
  <si>
    <t>https://ivensa.com</t>
  </si>
  <si>
    <t>Artificial Intelligence,Software,Information Technology,Cloud Computing,SaaS,Big Data,E-Commerce,Analytics,Machine Learning</t>
  </si>
  <si>
    <t>https://app.vainu.io/vainu/prospect/1610719987/</t>
  </si>
  <si>
    <t>PHP, TLS v1.2, Google analytics, Website, Office365 email, SSL/TLS, Jquery, Outlook, Elementor, Microsoft exchange, Cloudflare, Tab Icon, Wordpress, TLS v1.0, WordPress 5.6, Google font api, webCRM, Form Html Element, Mysql, _("Responsive"), WordPress 5, Linkedin, Javascript, TLS v1.1</t>
  </si>
  <si>
    <t>Jublo ApS</t>
  </si>
  <si>
    <t>DK38068822</t>
  </si>
  <si>
    <t>Langebrogade 6B, 4.</t>
  </si>
  <si>
    <t>www.jublo.com</t>
  </si>
  <si>
    <t>Small and Medium Businesses,Consumer Software,B2B,B2C,Software,Online Portals,Brand Marketing,Information Technology,Contact Management,Internet,Customer Service,SaaS,E-Commerce</t>
  </si>
  <si>
    <t>https://app.vainu.io/vainu/prospect/793410741/</t>
  </si>
  <si>
    <t>PHP, Underscore.js 1.8, Bootstrap, Font awesome, Linkedin Analytics / Advertisement Pixel, Instagram, Elementor 2.6, TLS v1.2, Google analytics, Slick, Office365 email, Neve 2.1, SSL/TLS, Jquery, Website, Swiper Slider, Albacross Analytics, Danish, Outlook, Neve, Microsoft asp.net, Elementor, Office 365, Google maps, Select2, Underscore.js, Microsoft exchange, Booking Widget (All), Tab Icon, Wordpress, Kestrel, jQuery Migrate, Google tag manager, TLS v1.0, Hotjar, Linkedin Data Partner, German, Linkedin Insight Tag, Weglot, Google font api, WordPress 5.0, Swedish, Popper, Cookiebot, Sleeknote, Norwegian, TLS v1.1, Form Html Element, English, Mysql, Linkedin, Youtube, _("Responsive"), Google Site Verification, WordPress 5, Popper 1.14, Apache, Contact Form 7 Wordpress Plugin, Youtube Embed, Javascript, Facebook, Bootstrap 4.1</t>
  </si>
  <si>
    <t>Sv, No, En, Da, De</t>
  </si>
  <si>
    <t>KNOWLEDGE CUBE A/S</t>
  </si>
  <si>
    <t>DK28510489</t>
  </si>
  <si>
    <t>Rued Langgaards Vej 8, 3.</t>
  </si>
  <si>
    <t>http://www.knowledgecube.net/</t>
  </si>
  <si>
    <t>Small and Medium Businesses,B2B,Software,Information Technology,SaaS,Business Information Systems,Management Information Systems</t>
  </si>
  <si>
    <t>https://app.vainu.io/vainu/prospect/6696585/</t>
  </si>
  <si>
    <t>React, TLS v1.2, Website, Office365 email, SSL/TLS, Outlook, Office 365, Google maps, Atlassian Domain Verification, Microsoft exchange, Webpack, Tab Icon, TLS v1.0, Next.js, Slack, American Express, Node.js, Vercel, _("Responsive"), Google Site Verification, Sendgrid, Contentful, Linkedin, Active Campaign, Javascript, Facebook, TLS v1.1</t>
  </si>
  <si>
    <t>KNOWLEDGE CUBE HOLDING ApS</t>
  </si>
  <si>
    <t>DK28510470</t>
  </si>
  <si>
    <t>Rued Langgaards Vej 8, 5.</t>
  </si>
  <si>
    <t>knowledgecube.net</t>
  </si>
  <si>
    <t>https://app.vainu.io/vainu/prospect/6867747/</t>
  </si>
  <si>
    <t>KONSOLIDATOR A/S</t>
  </si>
  <si>
    <t>DK36078383</t>
  </si>
  <si>
    <t>Vandtårnsvej 83A, 2.</t>
  </si>
  <si>
    <t>www.konsolidator.com</t>
  </si>
  <si>
    <t>Software,FinTech,Accounting,Cloud Computing,Finance,Information Technology,SaaS,Financial Services,Business Information Systems</t>
  </si>
  <si>
    <t>https://app.vainu.io/vainu/prospect/23366900/</t>
  </si>
  <si>
    <t>PHP, Revslider 6.2, Bootstrap, Font awesome, TLS v1.2, Google analytics, Jquery mobile, Office365 email, Chart.js, Danish, SSL/TLS, Jquery, Twitter, Website, Mailchimp, Swiper Slider, Outlook, Revslider, Elementor, Office 365, Google maps, Microsoft exchange, Cloudflare, Tab Icon, Wordpress, jQuery Migrate, Google tag manager, Flash, TLS v1.0, Modernizr, Hotjar, German, Pinterest, GoToWebinar, Facebook Like Button Plugin, Google font api, Hubspot CMS, Hubspot Email, Nginx, animate.css, Cookiebot, Youtube Embed, Form Html Element, Vimeo, English, Mysql, Prettyphoto, Moment.js, HubSpot CMS Hub, _("Responsive"), Google Site Verification, WordPress 5, Hubspot Leadflows, Blog, Hubspot Analytics, OWL Carousel, Hubspot, Sendgrid, Handlebars, Hubspot Forms, Linkedin, Javascript, Facebook, TLS v1.1</t>
  </si>
  <si>
    <t>Ka-ching A/S</t>
  </si>
  <si>
    <t>DK38683829</t>
  </si>
  <si>
    <t>Katrinebjergvej 115</t>
  </si>
  <si>
    <t>https://ka-ching.dk/</t>
  </si>
  <si>
    <t>Business Intelligence,B2B,B2C,Software,Information Technology,Retail Technology,Product Search,SaaS,UX Design,E-Commerce,Retail</t>
  </si>
  <si>
    <t>https://app.vainu.io/vainu/prospect/608658982/</t>
  </si>
  <si>
    <t>PHP, GitHub Pages, MasterCard, Font awesome, Instagram, TLS v1.2, Google analytics, Website, Microsoft IIS, SSL/TLS, Jquery, Mailchimp, Ruby on rails, Twitter, Danish, Instafeed, Office 365, Google maps, Dankort, Github.com, Mobilepay, Tab Icon, Google tag manager, Varnish, Ruby, Html5, MailJet, Modernizr, American Express, Fastly, Google font api, Calendly, Sleeknote, Facebook Share Button Plugin, Youtube Embed, Form Html Element, Vimeo, English, MkDocs 1.1, Youtube, _("Responsive"), Google Site Verification, Zendesk, _("Online_Store"), Gmail, Recaptcha, MkDocs, Linkedin, Javascript, Facebook, Microsoft IIS 8.5</t>
  </si>
  <si>
    <t>Kala ApS</t>
  </si>
  <si>
    <t>DK36402164</t>
  </si>
  <si>
    <t>c/o Mindorf  Jagtvej 85A, 1. tv.</t>
  </si>
  <si>
    <t>kala.dk</t>
  </si>
  <si>
    <t>Software,Information Technology,Task Management,Project Management,SaaS,Productivity Tools</t>
  </si>
  <si>
    <t>https://app.vainu.io/vainu/prospect/15663619/</t>
  </si>
  <si>
    <t>PHP, Hammer.js, Bootstrap, Font awesome, TLS v1.2, Google analytics, Website, Microsoft IIS, SSL/TLS, Jquery, Microsoft IIS 10.0, Mailchimp, Microsoft asp.net, Google maps, Select2, Apple App Store, Microsoft ASP.NET 4.0, Tab Icon, Google tag manager, Html5, Google play, Facebook pixel, Angularjs, Form Html Element, Vimeo, Youtube, _("Responsive"), Google Site Verification, Intercom, Jquery ui, Sendgrid, Youtube Embed, Javascript, Facebook</t>
  </si>
  <si>
    <t>Keepit A/S</t>
  </si>
  <si>
    <t>DK30806883</t>
  </si>
  <si>
    <t>Per Henrik Lings Allé 4, 7.</t>
  </si>
  <si>
    <t>https://www.keepit.com/</t>
  </si>
  <si>
    <t>Operating Systems,Software,Data Protection,Cloud Computing,Information Technology,Private Cloud,SaaS,Enterprise,Cloud Data Services,Security,Enterprise Software,Data Security</t>
  </si>
  <si>
    <t>https://app.vainu.io/vainu/prospect/6762243/</t>
  </si>
  <si>
    <t>Adform, Facebook Domain Verification, GitHub Pages, PHP, Ubuntu, MasterCard, Eurocard, Bootstrap, Instagram, Intranet, Mootools, Google analytics, Visual website optimizer, TLS v1.2, SSL/TLS, Jquery, Ruby on rails, Office365 email, Twitter, Visa, Bootstrap 3.2, OneTrust, Outlook, Salesforce, Nginx 1.14, Leadfeeder, Google maps, Microsoft exchange, Amazon CloudFront, Cloudflare, Dankort, Prismic.Io, Freshdesk Freshchat, Website, Tab Icon, Wordpress, Google tag manager, Ruby, Cookielaw, Html5, Google play, jQuery Migrate, Lever, Nginx 1.10, Xhtml, Hotjar, American Express, Optanon Cookie Consent, AmazonS, Fastly, Google font api, Freshchat, Hubspot CMS, Nginx, Cookiebot, Youtube Embed, Amazon web services, Vimeo, Form Html Element, Mysql, Youtube, HubSpot CMS Hub, _("Responsive"), Google Site Verification, WordPress 5, Atlassian Statuspage, Hubspot Analytics, Apache, Recaptcha, Contact Form 7 Wordpress Plugin, Hubspot, Hubspot Forms, Linkedin, Javascript, Facebook</t>
  </si>
  <si>
    <t>KlikBook ApS</t>
  </si>
  <si>
    <t>DK39685647</t>
  </si>
  <si>
    <t>Borgmester Christiansens Gade 50</t>
  </si>
  <si>
    <t>www.klikbook.dk</t>
  </si>
  <si>
    <t>Beauty,Software,Internet,SaaS,Billing</t>
  </si>
  <si>
    <t>https://app.vainu.io/vainu/prospect/1126542609/</t>
  </si>
  <si>
    <t>Global Site Tag, PHP, Apache 2.4, Ubuntu, Bootstrap, Font awesome, Instagram, Gravatar, TLS v1.2, Google analytics, Website, Mailchimp, SSL/TLS, Jquery, Twitter, Booking Widget (All), Dankort, Mobilepay, Yoast SEO, Wordpress, Tab Icon, jQuery Migrate, Flash, Html5, Google tag manager, Google play, TLS v1.0, Google Optimize, Facebook Like Button Plugin, Google font api, Facebook pixel, Popper, Popper 1.12, Youtube Embed, jQuery UI 1.11, Form Html Element, Vimeo, Mysql, Bootstrap 4.0, Moment.js, Youtube, Prettyphoto, _("Responsive"), Google Site Verification, WordPress 5, Yoast SEO 12.8, Zendesk, Blog, _("Online_Store"), Apache, Gmail, WordPress 5.3, DataTables, Jquery ui, Linkedin, Javascript, Facebook, TLS v1.1</t>
  </si>
  <si>
    <t>LENEO A/S</t>
  </si>
  <si>
    <t>DK37648035</t>
  </si>
  <si>
    <t>Christianshusvej 193</t>
  </si>
  <si>
    <t>www.leneo.io</t>
  </si>
  <si>
    <t>Software,FinTech,Finance,Leasing,SaaS,Financial Services,Banking</t>
  </si>
  <si>
    <t>https://app.vainu.io/vainu/prospect/393372696/</t>
  </si>
  <si>
    <t>Microsoft exchange, Zendesk, Google font api, animate.css, TLS v1.2, Website, _("Responsive"), Office365 email, Microsoft IIS, SSL/TLS, Microsoft IIS 10.0, Hubspot Forms, Form Html Element, Outlook, Linkedin, Microsoft asp.net, Javascript, Facebook</t>
  </si>
  <si>
    <t>LGL Ltd.</t>
  </si>
  <si>
    <t>DK40526943</t>
  </si>
  <si>
    <t>c/o Qvalia A/S  Lottenborgvej 24</t>
  </si>
  <si>
    <t>www.qvalia.com</t>
  </si>
  <si>
    <t>Small and Medium Businesses,Software,FinTech,Accounting,Finance,Information Technology,SaaS,Financial Services,Billing</t>
  </si>
  <si>
    <t>https://app.vainu.io/vainu/prospect/1649960404/</t>
  </si>
  <si>
    <t>Facebook Domain Verification, PHP, MasterCard, Gravatar, TLS v1.2, Google analytics, Website, Office365 email, SSL/TLS, Jquery, Twitter, Outlook, Flash video, Wistia, Microsoft exchange, Tab Icon, Wordpress, jQuery Migrate, Google tag manager, Hubspot Meetings Plugin, TLS v1.0, American Express, GoToWebinar, Google font api, Hubspot CMS, Nginx, Finnish, Norwegian, Amazon web services, Form Html Element, English, Mysql, _("Responsive"), Google Site Verification, Rollbar, Hubspot, Hubspot Sales, Hubspot Forms, Linkedin, Javascript, Facebook, TLS v1.1</t>
  </si>
  <si>
    <t>Sv, No, En, Da, Nb, Fi</t>
  </si>
  <si>
    <t>LOMWAS ApS</t>
  </si>
  <si>
    <t>DK35030069</t>
  </si>
  <si>
    <t>Göteborg Plads 7, 2. th.</t>
  </si>
  <si>
    <t>NORDHAVN</t>
  </si>
  <si>
    <t>www.lomwas.com</t>
  </si>
  <si>
    <t>https://app.vainu.io/vainu/prospect/23442329/</t>
  </si>
  <si>
    <t>PHP, Dropbox, Bootstrap, Font awesome, Gravatar, TLS v1.2, Website, SSL/TLS, Jquery, WordPress 5.8, W3 total cache, Flash video, Yoast SEO, Wordpress, Tab Icon, Flash, TLS v1.0, Modernizr, Bootstrap 4.3, Google font api, Yoast SEO 17.2, Form Html Element, Vimeo, Mysql, Youtube, Linkedin, _("Responsive"), WordPress 5, Apache, Contact Form 7 Wordpress Plugin, Youtube Embed, Javascript, Facebook, TLS v1.1</t>
  </si>
  <si>
    <t>Layerise ApS</t>
  </si>
  <si>
    <t>DK40409823</t>
  </si>
  <si>
    <t>Trondhjemsgade 11, kl. th.</t>
  </si>
  <si>
    <t>www.layerise.com</t>
  </si>
  <si>
    <t>API,Artificial Intelligence,B2B,B2C,Software,Product Management,Information Technology,Product Search,Real Time,SaaS,E-Commerce,Intelligent Systems,Productivity Tools,Enterprise Software,Machine Learning</t>
  </si>
  <si>
    <t>https://app.vainu.io/vainu/prospect/1578278463/</t>
  </si>
  <si>
    <t>Global Site Tag, PHP, React, Website, Google analytics, Twitter, Adobe Typekit, Webpack, Tab Icon, Google tag manager, Html5, Next.js, Slack, Stripe Online Payments, Node.js, Google font api, Vercel, Amazon web services, Vimeo, Stripe, Hubspot Live Chat, _("Responsive"), Google Site Verification, Gmail, Hubspot, Contentful, Youtube Embed, cloudinary, Active Campaign, Javascript</t>
  </si>
  <si>
    <t>LeadFamly ApS</t>
  </si>
  <si>
    <t>DK36986476</t>
  </si>
  <si>
    <t>Brendstrupgårdsvej 13, 1.</t>
  </si>
  <si>
    <t>https://www.leadfamly.com/</t>
  </si>
  <si>
    <t>Advertising,B2B,B2C,Software,Gamification,Digital Marketing,Marketing,SaaS,DIY</t>
  </si>
  <si>
    <t>https://app.vainu.io/vainu/prospect/6918764/</t>
  </si>
  <si>
    <t>Facebook Domain Verification, PHP, Underscore.js 1.8, MasterCard, Workable, Instagram, Gravatar, TLS v1.2, Google analytics, Website, Mailchimp, SSL/TLS, Jquery, Amazon SES, Albacross Analytics, Amplitude, Wp rocket, Oracle marketing cloud, WP Engine, Underscore.js, Amazon CloudFront, Cloudflare, Yoast SEO, Wordpress, Outbrain, Tab Icon, jQuery Migrate, Google tag manager, TLS v1.0, Hotjar, Slack, AmazonS, GoToWebinar, Google font api, Hubspot CMS, Hubspot Email, Nginx, Yoast SEO 17.2, Vidyard, Amazon web services, Form Html Element, Mysql, HubSpot CMS Hub, _("Responsive"), Google Site Verification, Blog, Gmail, Hubspot, Hubspot Forms, Linkedin, Javascript, Facebook, TLS v1.1</t>
  </si>
  <si>
    <t>Leaddoubler A/S</t>
  </si>
  <si>
    <t>DK30174895</t>
  </si>
  <si>
    <t>Hasselvænget 24</t>
  </si>
  <si>
    <t>VORDINGBORG</t>
  </si>
  <si>
    <t>www.leaddoubler.com</t>
  </si>
  <si>
    <t>Small and Medium Businesses,B2B,Software,Lead Generation,Internet,Marketing,SaaS,Sales</t>
  </si>
  <si>
    <t>https://app.vainu.io/vainu/prospect/6918201/</t>
  </si>
  <si>
    <t>Global Site Tag, Elementor 3.1, Apache 2.4, Facebook Domain Verification, Vkontakte, Bootstrap 3.3, Ubuntu, Font awesome, Linkedin Analytics / Advertisement Pixel, Bootstrap, TLS v1.2, Google analytics, Website, Mailchimp, Chart.js, SSL/TLS, Jquery, Tumblr, Twitter, Swiper Slider, Revslider, Elementor, Nginx 1.14, Underscore.js, jQuery UI 1.8, Tab Icon, Wordpress, jQuery Migrate, Google tag manager, Flash, Html5, Modernizr, Linkedin Data Partner, Xhtml, Pinterest, Linkedin Insight Tag, MailChimp 2.5, Facebook Like Button Plugin, Google font api, Woocommerce, Facebook pixel, Nginx, Calendly, Youtube Embed, WooCommerce 5.1, Whatsapp Website Icon, Form Html Element, Vimeo, Mysql, Prettyphoto, Google Plus, _("Responsive"), Underscore.js 1.13, WordPress 5, Monsterinsights, PHP, Blog, _("Online_Store"), Apache, OWL Carousel, Gmail, Contact Form 7 Wordpress Plugin, Facebook, Jquery ui, Linkedin, Active Campaign, Javascript, Revslider 6.3</t>
  </si>
  <si>
    <t>LeanMail ApS</t>
  </si>
  <si>
    <t>DK30903382</t>
  </si>
  <si>
    <t>Fredensborg Kongevej 56</t>
  </si>
  <si>
    <t>KOKKEDAL</t>
  </si>
  <si>
    <t>www.leanmail.com</t>
  </si>
  <si>
    <t>Software,Information Technology,Contact Management,Email,SaaS,Management Information Systems,Enterprise,Business Information Systems,Enterprise Software</t>
  </si>
  <si>
    <t>https://app.vainu.io/vainu/prospect/6890765/</t>
  </si>
  <si>
    <t>Global Site Tag, PHP, Vkontakte, Font awesome, Instagram, Gravatar, TLS v1.2, Google analytics, Website, Office365 email, SSL/TLS, Jquery, Tumblr, Swiper Slider, Wp rocket, Outlook, Revslider, Elementor, Microsoft exchange, Yoast SEO, Wordpress, Tab Icon, jQuery Migrate, Google tag manager, Html5, TLS v1.0, Hotjar, Revslider 6.4, Google font api, Nginx, Form Html Element, Whatsapp Website Icon, Vimeo, Yoast SEO 17.1, Mysql, Linkedin, Youtube, Google Plus, _("Responsive"), WordPress 5, particles.js, Elementor 3.4, Recaptcha, Youtube Embed, Javascript, Facebook, TLS v1.1</t>
  </si>
  <si>
    <t>En, la</t>
  </si>
  <si>
    <t>Leapeo ApS</t>
  </si>
  <si>
    <t>DK36395516</t>
  </si>
  <si>
    <t>Flæsketorvet 68</t>
  </si>
  <si>
    <t>https://leapeo.com/</t>
  </si>
  <si>
    <t>Virtual Workforce,Employee Benefits,Talent Management,Software,Employee Engagement,Information Technology,Human Resources,SaaS,Management Information Systems,Enterprise,Enterprise Software</t>
  </si>
  <si>
    <t>https://app.vainu.io/vainu/prospect/6745023/</t>
  </si>
  <si>
    <t>PHP, Bootstrap, Intranet, TLS v1.2, Website, Microsoft IIS, Office365 email, SSL/TLS, Jquery, Microsoft IIS 10.0, Twitter, Mailchimp, Outlook, Office 365, Leadfeeder, Microsoft exchange, Cloudflare, Tab Icon, Google tag manager, Html5, Google font api, lodash, ActiveCampaign, Calendly, Angularjs, Cookiebot, Form Html Element, Vimeo, Paths.js, Linkedin, Youtube, _("Responsive"), Google Site Verification, Blog, GSAP, Recaptcha, Youtube Embed, Active Campaign, Javascript, Facebook</t>
  </si>
  <si>
    <t>Leapwork ApS</t>
  </si>
  <si>
    <t>DK36924225</t>
  </si>
  <si>
    <t>Esplanaden 8C</t>
  </si>
  <si>
    <t>www.leapwork.com</t>
  </si>
  <si>
    <t>API,Developer Platform,Enterprise Applications,Operating Systems,Software,Test and Measurement,Information Technology,Software Engineering,Computer,Data Center Automation,SaaS,Enterprise,Quality Assurance,Enterprise Software</t>
  </si>
  <si>
    <t>https://app.vainu.io/vainu/prospect/6670961/</t>
  </si>
  <si>
    <t>Global Site Tag, PHP, Google adwords, Dropbox, Doubleclick, Font awesome, Linkedin Analytics / Advertisement Pixel, Instagram, Bootstrap, TLS v1.2, Google analytics, Slick, Office365 email, SSL/TLS, Jquery, Website, Mailchimp, Twitter, OneTrust, Liadm, Outlook, WP Engine, Salesforce, Hr Manager, Office 365, Leadfeeder, Wistia, Atlassian Domain Verification, Microsoft exchange, Amazon CloudFront, Cloudflare, Bouncex, Tab Icon, Wordpress, Outbrain, Cookielaw, Google tag manager, Html5, Taboola, Hubspot Rss Feed, TLS v1.0, Linkedin Data Partner, Slack, Linkedin Insight Tag, Optanon Cookie Consent, Thetradedesk / Adbrain, GoToWebinar, Google font api, Hubspot CMS, Nginx, Zendesk Chat, Amazon web services, jsDelivr, Form Html Element, Bootstrap 4.7, Mysql, Linkedin Sign-in, Youtube, Getsitecontrol Chat, HubSpot CMS Hub, _("Responsive"), Google Site Verification, Zendesk, Glassdoor Job Search, Hubspot Analytics, Hubspot Marketing Hub, Hubspot, Hubspot Forms, Slick 1.6, Linkedin, Javascript, Facebook, TLS v1.1</t>
  </si>
  <si>
    <t>Learningbank A/S</t>
  </si>
  <si>
    <t>DK32353606</t>
  </si>
  <si>
    <t>Støberigade 14</t>
  </si>
  <si>
    <t>learningbank.io/da</t>
  </si>
  <si>
    <t>Virtual Workforce,Talent Management,Training,Software,Gamification,Information Technology,Education,Knowledge Management,Human Resources,Skill Assessment,SaaS,E-Learning,Corporate Training,Enterprise Software</t>
  </si>
  <si>
    <t>https://app.vainu.io/vainu/prospect/6670962/</t>
  </si>
  <si>
    <t>Facebook Domain Verification, PHP, Teamtailor, Ziggeo, Workable, Font awesome, Instagram, Intranet, TLS v1.2, Google analytics, Slick, Office365 email, section.io, SSL/TLS, Jquery, Website, Twitter, Outlook, Fontfaceobserver, Salesforce, Stimulus, Office 365, Google maps, Atlassian Domain Verification, Microsoft exchange, Amazon CloudFront, Cloudflare, Tab Icon, Google tag manager, Varnish, Ruby, Typeform, Html5, Slack, American Express, Heroku, GoToWebinar, Facebook Like Button Plugin, Google font api, Hubspot CMS, Hubspot Email, Vidyard, Facebook Share Button Plugin, Youtube Embed, Amazon web services, Form Html Element, Vimeo, English, Youtube, HubSpot CMS Hub, _("Responsive"), Google Site Verification, Blog, Rackcache, Hubspot Marketing Hub, Hubspot, Hubspot Forms, Linkedin, Active Campaign, Javascript, Facebook</t>
  </si>
  <si>
    <t>Legal Monster ApS</t>
  </si>
  <si>
    <t>DK39587408</t>
  </si>
  <si>
    <t>Njalsgade 21E, 5.</t>
  </si>
  <si>
    <t>www.legalmonster.com</t>
  </si>
  <si>
    <t>Compliance,GDPR,Legal Tech,Software,Ediscovery,Privacy,Information Technology,Internet,SaaS,Legal,Security</t>
  </si>
  <si>
    <t>https://app.vainu.io/vainu/prospect/1069992392/</t>
  </si>
  <si>
    <t>Lytics, MasterCard, Font awesome, React, Instagram, Help Scout, Smartyads, Google analytics, Website, Jquery, Amplitude, Twitter, Visa, Google Firebase, Stimulus, Cowboy, Apple Pay, Mixpanel Analytics, Cloudflare, Tab Icon, Google tag manager, Ruby, Html5, Slack, American Express, Heroku, Fastly, Google font api, Form Html Element, Alpine.js, Segment, Legal Monster, Google Site Verification, _("Responsive"), Atlassian Statuspage, Rackcache, Gmail, Recaptcha, Hubspot, Linkedin, Active Campaign, Javascript, Facebook</t>
  </si>
  <si>
    <t>Livingroom Analytics ApS</t>
  </si>
  <si>
    <t>DK38840606</t>
  </si>
  <si>
    <t>www.livingroomanalytics.com</t>
  </si>
  <si>
    <t>Virtual Workforce,Predictive Analytics,Software,Employee Engagement,Information Technology,Human Resources,Real Time,Enterprise Software,SaaS,Management Information Systems,Analytics</t>
  </si>
  <si>
    <t>https://app.vainu.io/vainu/prospect/686982920/</t>
  </si>
  <si>
    <t>Instagram, Intranet, Website, Google analytics, Office365 email, SSL/TLS, Jquery, Twitter, Outlook, Oracle marketing cloud, Microsoft exchange, Amazon CloudFront, Cloudflare, Tab Icon, Google tag manager, Html5, Hubspot Meetings Plugin, TLS v1.0, GoToWebinar, Google font api, Hubspot CMS, Hubspot Email, Vidyard, Amazon web services, Form Html Element, HubSpot CMS Hub, _("Responsive"), Google Site Verification, Glassdoor Job Search, Hubspot, Sendgrid, Hubspot Sales, Hubspot Forms, Linkedin, Javascript, Facebook, TLS v1.1</t>
  </si>
  <si>
    <t>MATCHWARE A/S</t>
  </si>
  <si>
    <t>DK18373432</t>
  </si>
  <si>
    <t>P. Hiort-Lorenzens Vej 2A, st. th.</t>
  </si>
  <si>
    <t>www.matchware.com</t>
  </si>
  <si>
    <t>Virtual Workforce,Software,Information Technology,Enterprise Software,SaaS,Enterprise,Collaboration,Productivity Tools,Management Information Systems</t>
  </si>
  <si>
    <t>https://app.vainu.io/vainu/prospect/6614526/</t>
  </si>
  <si>
    <t>PHP, Bootstrap, MasterCard, Font awesome, Gravatar, Website, Office365 email, Danish, Jquery, Twitter, Outlook, Microsoft exchange, Amazon CloudFront, Yoast SEO, Wordpress, Tab Icon, jQuery Migrate, Google tag manager, Modernizr, German, French, Yoast SEO 12.1, Google font api, Addthis, Amazon web services, Form Html Element, Vimeo, English, Mysql, Youtube, _("Responsive"), Google Site Verification, Blog, Apache, Recaptcha, Contact Form 7 Wordpress Plugin, Sendgrid, Youtube Embed, Javascript, Facebook</t>
  </si>
  <si>
    <t>En, Fr, Da, De</t>
  </si>
  <si>
    <t>MINUBA ApS</t>
  </si>
  <si>
    <t>DK33259336</t>
  </si>
  <si>
    <t>https://minuba.dk/</t>
  </si>
  <si>
    <t>Small and Medium Businesses,Software,Accounting,Information Technology,SaaS,Billing</t>
  </si>
  <si>
    <t>https://app.vainu.io/vainu/prospect/21528951/</t>
  </si>
  <si>
    <t>Facebook Domain Verification, PHP, Apache 2.4, Ubuntu, Bootstrap, Instagram, TLS v1.2, Website, Mailchimp, SSL/TLS, Jquery, Twitter, Flash video, Elementor, Mobilepay, Yoast SEO, Wordpress, Tab Icon, jQuery Migrate, Flash, Html5, Google tag manager, Nginx 1.19, Facebook Like Button Plugin, Lightbox, Facebook pixel, Nginx, Yoast SEO 17.2, Facebook Share Button Plugin, ZOOM, Form Html Element, Vimeo, Mysql, Youtube, Linkedin, _("Responsive"), Google Site Verification, Zendesk, Apache, Recaptcha, Youtube Embed, Moove Cookie Consent, Javascript, Facebook</t>
  </si>
  <si>
    <t>MONO SOLUTIONS ApS</t>
  </si>
  <si>
    <t>DK30192648</t>
  </si>
  <si>
    <t>Hejrevej 28, 1.</t>
  </si>
  <si>
    <t>https://www.monosolutions.com/</t>
  </si>
  <si>
    <t>Advertising,B2C,Software,Digital Marketing,Information Technology,CMS,Internet,Marketing Automation,Web Development,SaaS,Marketing,E-Commerce,Web Design,Email Marketing</t>
  </si>
  <si>
    <t>https://app.vainu.io/vainu/prospect/6896366/</t>
  </si>
  <si>
    <t>Global Site Tag, Dropbox, MasterCard, Bootstrap, Paytrail, Website, Google analytics, Office365 email, SSL/TLS, Jquery, Amazon SES, Mailchimp, Twitter, Outlook, Flash video, Wistia, Microsoft exchange, LogMeIn, Giropay, Ideal, Tab Icon, Wordpress, Google tag manager, Html5, Google play, TLS v1.0, Slack, American Express, GoToWebinar, Google font api, Hubspot CMS, Hubspot Email, Nginx, New relic, Cookiebot, Form Html Element, Vimeo, _("Responsive"), Google Site Verification, TripAdvisor, Extranet, Nginx 1.16, Blog, Hubspot, Ecwid, Sendgrid, Hubspot Forms, Linkedin, Active Campaign, Javascript, Facebook, TLS v1.1</t>
  </si>
  <si>
    <t>MONSIDO ApS</t>
  </si>
  <si>
    <t>DK33862377</t>
  </si>
  <si>
    <t>Borupvang 3</t>
  </si>
  <si>
    <t>BALLERUP</t>
  </si>
  <si>
    <t>monsido.com</t>
  </si>
  <si>
    <t>API,Consumer Software,Software,Semantic Web,CMS,Information Technology,Internet,Web Development,SaaS,Enterprise Software,Developer APIs</t>
  </si>
  <si>
    <t>https://app.vainu.io/vainu/prospect/6579091/</t>
  </si>
  <si>
    <t>Facebook Domain Verification, PHP, Font awesome, Instagram, Intranet, TLS v1.2, Website, Mailchimp, SSL/TLS, Jquery, Twitter, Pardot, Flash video, Salesforce, Office 365, Wistia, Atlassian Domain Verification, Google maps, Cxense, PardotServer, Tab Icon, Wordpress, G2 Crowd Conversion Tracking, Google tag manager, TLS v1.0, Slack, Pinterest, Nginx, Salesforce marketing cloud, Form Html Element, Youtube, _("Responsive"), Google Site Verification, Rollbar, Extranet, Intercom, Google Cloud, Glassdoor Job Search, Blog, Gmail, Linkedin, Javascript, Facebook, TLS v1.1</t>
  </si>
  <si>
    <t>MOUSEFLOW ApS</t>
  </si>
  <si>
    <t>DK29314500</t>
  </si>
  <si>
    <t>mouseflow.com</t>
  </si>
  <si>
    <t>Personalization,Software,Semantic Web,Information Technology,Real Time,Internet,SaaS,Analytics,Developer APIs</t>
  </si>
  <si>
    <t>https://app.vainu.io/vainu/prospect/21504511/</t>
  </si>
  <si>
    <t>Global Site Tag, PHP, Google adwords, Dropbox, Linkedin Analytics / Advertisement Pixel, Intranet, React, TLS v1.2, Google analytics, Website, Mailchimp, SSL/TLS, Jquery, Joomla, Twitter, Olark, WP Engine, Yoast SEO 16.9, Wistia, Cloudflare, Yoast SEO, Wordpress, Tab Icon, jQuery Migrate, Google tag manager, Opinionlab, Html5, TLS v1.0, Modernizr, Slack, AMP, Mouseflow, Elfsight, Nginx 1.19, Google font api, Hubspot CMS, Hubspot Email, Nginx, Omniture, Cookiebot, Facebook Share Button Plugin, Youtube Embed, Form Html Element, Vimeo, Mysql, Youtube, Google Plus, Hubspot Live Chat, Prestashop, HubSpot CMS Hub, Google Site Verification, GrooveHQ, _("Responsive"), Intercom, Vue.js 3.0, Blog, Hubspot Analytics, _("Online_Store"), Castle Accont Takeout Prevention, Gmail, Hubspot, Sendgrid, Hubspot Forms, Linkedin, Vue.js, Javascript, Facebook, TLS v1.1</t>
  </si>
  <si>
    <t>De, En, Fr, Es</t>
  </si>
  <si>
    <t>MUSSKEMA.DK ApS</t>
  </si>
  <si>
    <t>DK31285305</t>
  </si>
  <si>
    <t>Åbogade 15</t>
  </si>
  <si>
    <t>www.musskema.dk</t>
  </si>
  <si>
    <t>Virtual Workforce,Office Administration,Talent Management,Software,Employee Engagement,Information Technology,Human Resources,Customer Service,SaaS,Enterprise,Management Information Systems,Knowledge Management,Enterprise Software</t>
  </si>
  <si>
    <t>https://app.vainu.io/vainu/prospect/6615343/</t>
  </si>
  <si>
    <t>PHP, Bootstrap, MasterCard, Font awesome, Phusion Passenger 5.3, TLS v1.2, Google analytics, Slick, Office365 email, SSL/TLS, Jquery, Website, Danish, Twitter, Outlook, Stimulus, Microsoft exchange, Osano, Cloudflare, Tab Icon, Html5, Slack, German, GoToWebinar, Google font api, Hubspot CMS, Hubspot Email, Nginx, Cookiebot, Jobmatchprofile, Sleeknote, Phusion Passenger, Form Html Element, Vimeo, English, Linkedin Sign-in, Bootstrap 4.5, Linkedin, Youtube, HubSpot CMS Hub, _("Responsive"), Google Site Verification, MaxMind, Blog, Cookie Consent By Insites, Hubspot Marketing Hub, Recaptcha, Jquery ui, Hubspot, Hubspot Forms, Youtube Embed, Javascript, Facebook, AMP</t>
  </si>
  <si>
    <t>Meet2Talk Operation ApS</t>
  </si>
  <si>
    <t>DK37815497</t>
  </si>
  <si>
    <t>Frederiks Allé 112B, 1.</t>
  </si>
  <si>
    <t>www.meet2talk.com</t>
  </si>
  <si>
    <t>Virtual Workforce,Office Administration,B2B,Software,Information Technology,Video Chat,Human Resources,Internet,SaaS,Enterprise,Recruiting</t>
  </si>
  <si>
    <t>https://app.vainu.io/vainu/prospect/644187979/</t>
  </si>
  <si>
    <t>PHP, Bootstrap, Font awesome, Intranet, Gravatar, TLS v1.2, Website, Slick, Office365 email, SSL/TLS, Jquery, Outlook, Revslider, W3 total cache, Revslider 6.5, Office 365, Google maps, Microsoft exchange, Apple App Store, Yoast SEO, Wordpress, Tab Icon, jQuery Migrate, Google tag manager, Google play, TLS v1.0, Modernizr, Slack, Pinterest, Google font api, Nginx, animate.css, Cookiebot, Facebook Share Button Plugin, Form Html Element, Whatsapp Website Icon, Vimeo, Yoast SEO 17.1, Mysql, Linkedin, _("Responsive"), Google Site Verification, WordPress 5, Apache, Contact Form 7 Wordpress Plugin, Jquery ui, Youtube Embed, Vue.js, Javascript, Facebook, TLS v1.1</t>
  </si>
  <si>
    <t>Meetr ApS</t>
  </si>
  <si>
    <t>DK42252301</t>
  </si>
  <si>
    <t>Skovbogårds Allé 15</t>
  </si>
  <si>
    <t>VALBY</t>
  </si>
  <si>
    <t>meetr.dk</t>
  </si>
  <si>
    <t>Meeting Software,Software,Information Technology,SaaS,Collaboration,Enterprise Software</t>
  </si>
  <si>
    <t>https://app.vainu.io/vainu/prospect/2344663576/</t>
  </si>
  <si>
    <t>Global Site Tag, PHP, Apache 2.4, Ubuntu, TLS v1.2, Google analytics, Slick, Office365 email, SSL/TLS, Jquery, Website, Mailchimp, Outlook, Office 365, Microsoft exchange, Tab Icon, Google tag manager, Html5, TLS v1.0, Modernizr, Facebook Share Button Plugin, Form Html Element, _("Responsive"), Apache, Javascript, Facebook, TLS v1.1</t>
  </si>
  <si>
    <t>Mercura ApS</t>
  </si>
  <si>
    <t>DK37609110</t>
  </si>
  <si>
    <t>c/o Martin Johansen  Åbogade 15</t>
  </si>
  <si>
    <t>mercura.dk</t>
  </si>
  <si>
    <t>https://app.vainu.io/vainu/prospect/792621710/</t>
  </si>
  <si>
    <t>Global Site Tag, PHP, Font awesome, Varnish 6.5, Gravatar, TLS v1.2, Google analytics, Website, Office365 email, SSL/TLS, Jquery, Twitter, Outlook, WordPress 5.8, Flash video, Office 365, Microsoft exchange, Booking Widget (All), Yoast SEO, Wordpress, Varnish, Divi 4.9, Flash, Tab Icon, jQuery Migrate, Google tag manager, TLS v1.0, Varnish 6.6, Yoast SEO 15.9, Google font api, Nginx, Form Html Element, Vimeo, Mysql, Flickr, Linkedin, Youtube, _("Responsive"), Google Site Verification, Divi, WordPress 5, Apache, Youtube Embed, Javascript, Facebook, TLS v1.1</t>
  </si>
  <si>
    <t>NPS.TODAY ApS</t>
  </si>
  <si>
    <t>DK36464917</t>
  </si>
  <si>
    <t>Bredgade 41, 2. tv.</t>
  </si>
  <si>
    <t>https://www.nps.today/</t>
  </si>
  <si>
    <t>CRM,Consumer Software,Software,Customer Engagement,Customer Experience,Information Technology,Analytics,Customer Service,SaaS,Management Information Systems</t>
  </si>
  <si>
    <t>https://app.vainu.io/vainu/prospect/6713316/</t>
  </si>
  <si>
    <t>AngularJS 1.3, Global Site Tag, Facebook Domain Verification, PHP, Bootstrap 3.3, Bootstrap, Font awesome, Linkedin Analytics / Advertisement Pixel, Material Design Lite, TLS v1.2, Google analytics, Angular Material 1.1, Microsoft IIS, Office365 email, SSL/TLS, Jquery, Website, Twitter, Microsoft IIS 10.0, Outlook, WordPress 5.8, Microsoft asp.net, Microsoft exchange, Cloudflare Browser Insights, Cloudflare, Microsoft ASP.NET 4.0, Tab Icon, Wordpress, Google tag manager, AngularJS 1.5, Flash, Dynamics CRM Online, Linkedin Data Partner, Xhtml, Linkedin Insight Tag, Google font api, Facebook pixel, Nginx, Calendly, Angularjs, jsDelivr, Form Html Element, Vimeo, Mysql, Angular Material, Moment.js, _("Responsive"), Google Site Verification, WordPress 5, Angular Material 0.8, Clickdimensions, Linkedin, Javascript, Facebook</t>
  </si>
  <si>
    <t>Nyby</t>
  </si>
  <si>
    <t>DK38294040</t>
  </si>
  <si>
    <t>Todesgade 2, 1. th.</t>
  </si>
  <si>
    <t>nyby.com</t>
  </si>
  <si>
    <t>Virtual Workforce,Software,Information Technology,Management Information Systems,SaaS,Health Care</t>
  </si>
  <si>
    <t>https://app.vainu.io/vainu/prospect/636273160/</t>
  </si>
  <si>
    <t>Global Site Tag, PHP, Instagram, TLS v1.2, Google analytics, Website, SSL/TLS, Homerun, Jquery, Danish, Twitter, Visa, Google maps, Apple App Store, Amazon CloudFront, Osano, Cloudflare, Tab Icon, Wordpress, Google tag manager, Html5, Google play, Hotjar, German, GoToWebinar, Google font api, Hubspot CMS, Hubspot Email, Nginx, Swedish, Facebook Share Button Plugin, Youtube Embed, Amazon web services, Norwegian, Form Html Element, Vimeo, English, Youtube, HubSpot CMS Hub, _("Responsive"), Google Site Verification, MaxMind, Intercom, Cookie Consent By Insites, Apache, Gmail, Hubspot, Sendgrid, Hubspot Forms, Linkedin, Javascript, Facebook</t>
  </si>
  <si>
    <t>Sv, No, En, Da</t>
  </si>
  <si>
    <t>Ocean ApS</t>
  </si>
  <si>
    <t>DK38556746</t>
  </si>
  <si>
    <t>Strandgade 4, 3.</t>
  </si>
  <si>
    <t>https://ocean.io/</t>
  </si>
  <si>
    <t>Artificial Intelligence,B2B,Predictive Analytics,Software,Information Technology,Marketing Automation,Marketing,SaaS,Big Data,Sales,Analytics,Machine Learning</t>
  </si>
  <si>
    <t>https://app.vainu.io/vainu/prospect/641344190/</t>
  </si>
  <si>
    <t>PHP, Linkedin Analytics / Advertisement Pixel, React, TLS v1.2, Google analytics, Website, Mailchimp, SSL/TLS, Jquery, Twitter, Google Cloud Storage, Gatsby, Gatsby 2.25, Adobe Typekit, Leaflet, UNPKG, Cloudflare, Webpack, Tab Icon, Google tag manager, Html5, TLS v1.0, Hotjar, Linkedin Data Partner, Next.js, Google Optimize, Google Optimize 360, envoy, Linkedin Insight Tag, AMP, Node.js, Google font api, Hubspot CMS, Istio-Envoy, Calendly, Facebook Share Button Plugin, Youtube Embed, jsDelivr, Form Html Element, Mapbox GL JS, Youtube, Segment, Typekit, Google Site Verification, _("Responsive"), Intercom, Google Cloud, Blog, Uploadserver, Hubspot Marketing Hub, Gmail, Hubspot, Hubspot Forms, Linkedin, Javascript, Facebook, TLS v1.1</t>
  </si>
  <si>
    <t>OnScope A/S</t>
  </si>
  <si>
    <t>DK38297287</t>
  </si>
  <si>
    <t>Niels Brocks Gade 8, 1.</t>
  </si>
  <si>
    <t>RANDERS C</t>
  </si>
  <si>
    <t>www.onscope.eu</t>
  </si>
  <si>
    <t>API,Software,SQL,Application Performance Management,Information Technology,SaaS,Enterprise,Consulting,Business Information Systems,Management Information Systems</t>
  </si>
  <si>
    <t>https://app.vainu.io/vainu/prospect/641904172/</t>
  </si>
  <si>
    <t>PHP, Bootstrap, Instagram, TLS v1.2, Website, Office365 email, Microsoft IIS, SSL/TLS, Jquery, Microsoft IIS 10.0, Twitter, Blazor, Outlook, Microsoft asp.net, Office 365, Microsoft exchange, Pinterest, Google font api, Facebook Share Button Plugin, Form Html Element, Vimeo, Linkedin, _("Responsive"), OWL Carousel, Youtube Embed, Javascript, Facebook</t>
  </si>
  <si>
    <t>Ontame.io ApS</t>
  </si>
  <si>
    <t>DK36908009</t>
  </si>
  <si>
    <t>Artillerivej 86</t>
  </si>
  <si>
    <t>http://www.ontame.io/</t>
  </si>
  <si>
    <t>Artificial Intelligence,Software,Information Technology,Human Resources,SaaS,Big Data,Recruiting,Analytics</t>
  </si>
  <si>
    <t>https://app.vainu.io/vainu/prospect/19937298/</t>
  </si>
  <si>
    <t>Global Site Tag, Apache 2.4, Bootstrap, Linkedin Analytics / Advertisement Pixel, Instagram, Smartyads, TLS v1.2, Google analytics, Website, React, SSL/TLS, Jquery, Amazon SES, Twitter, Oracle marketing cloud, Amazon CloudFront, Clipboard.js, Cloudflare, Tab Icon, Wordpress, Google tag manager, Linkedin Data Partner, Linkedin Insight Tag, GoToWebinar, Google font api, Addthis, Hubspot CMS, Hubspot Email, OpenSSL 1.0, Facebook pixel, Vidyard, Youtube Embed, Amazon web services, Form Html Element, Linkedin Sign-in, Youtube, HubSpot CMS Hub, _("Responsive"), Google Site Verification, Intercom, Openssl, Glassdoor Job Search, Blog, Apache, Hubspot Marketing Hub, Gmail, DataTables, Hubspot, Hubspot Forms, Linkedin, Javascript, Facebook, AMP</t>
  </si>
  <si>
    <t>Optmyzr Tech ApS</t>
  </si>
  <si>
    <t>DK37945439</t>
  </si>
  <si>
    <t>Njalsgade 76, 3.</t>
  </si>
  <si>
    <t>optmyzr.com</t>
  </si>
  <si>
    <t>Advertising,Software,Digital Marketing,Internet,SEO,SaaS,Marketing,Google</t>
  </si>
  <si>
    <t>https://app.vainu.io/vainu/prospect/393125430/</t>
  </si>
  <si>
    <t>Firebase 3.6, Bootstrap, Font awesome, React, Material Design Lite, TLS v1.2, Google analytics, Website, Mailchimp, SSL/TLS, Hugo 0.74, Jquery, Twitter, Google Firebase, Firebase, Adobe Typekit, UNPKG, Amazon CloudFront, Tab Icon, Wordpress, Google tag manager, TLS v1.0, Hugo, Slack, Bootstrap 2.3, AmazonS, Google font api, Nginx, Mailgun, Amazon web services, Form Html Element, Alpine.js, Youtube, _("Responsive"), Tapfiliate, Intercom, Apache, Gmail, Recaptcha, Materialize CSS, Ahrefs SEO tools, Linkedin, Javascript, Facebook, TLS v1.1</t>
  </si>
  <si>
    <t>Ja, En</t>
  </si>
  <si>
    <t>PEDAB DENMARK A/S</t>
  </si>
  <si>
    <t>DK29816255</t>
  </si>
  <si>
    <t>Vibeholms Allé 16, 2.</t>
  </si>
  <si>
    <t>pedab.dk</t>
  </si>
  <si>
    <t>Software,Information Technology,Cyber Security,SaaS,Hardware,Security,Analytics</t>
  </si>
  <si>
    <t>https://app.vainu.io/vainu/prospect/6809012/</t>
  </si>
  <si>
    <t>Global Site Tag, PHP, Underscore.js 1.8, Linkedin Analytics / Advertisement Pixel, Intranet, Gravatar, TLS v1.2, Google analytics, Website, SSL/TLS, Jquery, Twitter, Outlook, WordPress 5.8, Flash video, Yoast SEO 15.3, Office 365, Microsoft exchange, Underscore.js, Leadoo, Yoast SEO, Wordpress, Tab Icon, jQuery Migrate, Flash, Html5, Google tag manager, Modernizr, Linkedin Data Partner, Hotjar, Pinterest, Linkedin Insight Tag, GoToWebinar, Google font api, Hubspot CMS, Facebook pixel, Facebook Share Button Plugin, Form Html Element, Vimeo, Mysql, _("Responsive"), Google Site Verification, WordPress 5, Blog, Hubspot Analytics, Apache, Recaptcha, Hubspot, Hubspot Forms, Linkedin, Javascript, Facebook, Backbone.js</t>
  </si>
  <si>
    <t>Sv, Nb, En, Da</t>
  </si>
  <si>
    <t>PENNEO A/S</t>
  </si>
  <si>
    <t>DK35633766</t>
  </si>
  <si>
    <t>Enghavevej 40, 4.</t>
  </si>
  <si>
    <t>https://penneo.com</t>
  </si>
  <si>
    <t>API,Enterprise,Compliance,Legal Tech,Software,FinTech,Privacy,Information Technology,Document Management,SaaS,Legal,Security,Data Security</t>
  </si>
  <si>
    <t>https://app.vainu.io/vainu/prospect/23365843/</t>
  </si>
  <si>
    <t>PHP, Teamtailor, Ziggeo, Bootstrap, Instagram, TLS v1.2, Google analytics, Website, section.io, SSL/TLS, Jquery, jQuery 3.5, Amazon SES, Twitter, Mailchimp, Danish, Pardot, WP Engine, Fontfaceobserver, Stimulus, Google maps, Polyfill, Osano, Yoast SEO 16.1, Yoast SEO, Wordpress, Varnish, Tab Icon, jQuery Migrate, Html5, Google tag manager, Ruby, TLS v1.0, WordPress 5.7, Facebook Page Plugin, Heroku, Facebook Like Button Plugin, Google font api, Nginx, Swedish, Gravity Forms 2.4, Popper, Salesforce marketing cloud, Facebook Share Button Plugin, Youtube Embed, Amazon web services, Norwegian, Form Html Element, Vimeo, English, Mysql, Youtube, _("Responsive"), Google Site Verification, Popper 1.14, Zendesk, Blog, Rackcache, OWL Carousel, Gmail, Gravity Forms, Linkedin, Javascript, Facebook, TLS v1.1</t>
  </si>
  <si>
    <t>PLANDAY A/S</t>
  </si>
  <si>
    <t>DK27666248</t>
  </si>
  <si>
    <t>Kuglegårdsvej 7</t>
  </si>
  <si>
    <t>planday.dk</t>
  </si>
  <si>
    <t>Virtual Workforce,Office Administration,Facility Management,Franchise,Consumer Software,Software,Information Technology,Real Time,Enterprise Software,SaaS,Enterprise,Business Information Systems,Productivity Tools,Management Information Systems,Scheduling</t>
  </si>
  <si>
    <t>https://app.vainu.io/vainu/prospect/6835955/</t>
  </si>
  <si>
    <t>Lytics, Workable, Doubleclick, React, Instagram, Force.com, TLS v1.2, Google analytics, Website, Office365 email, SSL/TLS, Jquery, Mailchimp, Danish, Twitter, Gatsby, Outlook, Salesforce, Wistia, Google maps, Microsoft exchange, Cloudflare Browser Insights, Cloudflare, Webpack, Gatsby 2.29, Tab Icon, Wordpress, Google tag manager, TLS v1.0, Hotjar, Slack, German, French, Zuora, Google font api, Drift Chat, Facebook pixel, Swedish, Cookiebot, Norwegian, Amazon web services, Microsoft azure, Vimeo, Youtube, _("Responsive"), Intercom, Italian, Hubspot Leadflows, Hubspot Analytics, Trustpilot, Spanish, Brighttalk, Hubspot, Hubspot Forms, Linkedin, Javascript, Facebook, TLS v1.1</t>
  </si>
  <si>
    <t>PLYTIX.COM ApS</t>
  </si>
  <si>
    <t>DK35858180</t>
  </si>
  <si>
    <t>c/o KLUB ApS  Linnésgade 25</t>
  </si>
  <si>
    <t>www.plytix.com</t>
  </si>
  <si>
    <t>API,Consumer Software,B2B,B2C,Software,Product Management,Information Technology,Product Search,Internet,SaaS,Big Data,E-Commerce,Enterprise Software</t>
  </si>
  <si>
    <t>https://app.vainu.io/vainu/prospect/6853826/</t>
  </si>
  <si>
    <t>MasterCard, Font awesome, Instagram, TLS v1.2, Google analytics, Website, Mailchimp, SSL/TLS, Jquery, Twitter, Visa, Office 365, Apple Pay, UNPKG, Amazon CloudFront, Cloudflare, Tab Icon, Google tag manager, Html5, TLS v1.0, German, American Express, AMP, GoToWebinar, Google font api, Hubspot CMS, Hubspot Email, Nginx, Hubspot Customer Feedback, Shopify, Youtube Embed, Amazon web services, jsDelivr, Form Html Element, Linkedin Sign-in, Youtube, HubSpot CMS Hub, Segment, Google Site Verification, _("Responsive"), Blog, Hubspot Analytics, _("Online_Store"), Hubspot Marketing Hub, Gmail, Hubspot, Hubspot Forms, Linkedin, Javascript, Facebook, TLS v1.1</t>
  </si>
  <si>
    <t>PRAICE APS</t>
  </si>
  <si>
    <t>DK35843345</t>
  </si>
  <si>
    <t>Jægersborg Alle 1</t>
  </si>
  <si>
    <t>CHARLOTTENLUND</t>
  </si>
  <si>
    <t>www.praice.com</t>
  </si>
  <si>
    <t>Artificial Intelligence,Software,Information Technology,Social Recruiting,Human Resources,SaaS,Recruiting,Machine Learning</t>
  </si>
  <si>
    <t>https://app.vainu.io/vainu/prospect/13448338/</t>
  </si>
  <si>
    <t>Global Site Tag, PHP, Crowdio Chat, Azure Application Insights, Site Kit 1.40, Underscore.js 1.8, Linkedin Analytics / Advertisement Pixel, TLS v1.2, Google analytics, Website, Office365 email, SSL/TLS, Jquery, Mailchimp, Twitter, Outlook, Office 365, Microsoft exchange, Underscore.js, Mixpanel Analytics, Leaflet, Cloudflare, Tab Icon, Wordpress, Varnish, jQuery Migrate, Google tag manager, Html5, Varnish 6.6, MailJet, TLS v1.0, Linkedin Data Partner, Pinterest, Linkedin Insight Tag, wpBakery, Stripe Online Payments, Google font api, Facebook pixel, animate.css, Angularjs, Facebook Share Button Plugin, Youtube Embed, Amazon web services, Site Kit, Form Html Element, Stripe, Vimeo, Mysql, _("Responsive"), Google Site Verification, WordPress 5, _("Online_Store"), OWL Carousel, Recaptcha, Contact Form 7 Wordpress Plugin, Appinsights, Linkedin, Javascript, Facebook, TLS v1.1</t>
  </si>
  <si>
    <t>PREZENTOR ApS</t>
  </si>
  <si>
    <t>DK35392610</t>
  </si>
  <si>
    <t>Frederikskaj 4</t>
  </si>
  <si>
    <t>https://www.prezentor.com/</t>
  </si>
  <si>
    <t>Sales Automation,B2B,B2C,Software,Brand Marketing,CMS,Information Technology,Presentations,Marketing,SaaS,Sales,Sales Enablement,Enterprise Software</t>
  </si>
  <si>
    <t>https://app.vainu.io/vainu/prospect/23165955/</t>
  </si>
  <si>
    <t>PHP, Socket.IO, Bootstrap, Linkedin Analytics / Advertisement Pixel, Instagram, Intranet, TLS v1.2, Google analytics, Highcharts, Office365 email, Chart.js, Gravatar, Slick, Jquery, Twitter, Amazon SES, SSL/TLS, Mailchimp, Cludo, Outlook, WordPress 5.8, Salesforce, Sharpspring, Elementor, Office 365, Microsoft exchange, Amazon CloudFront, Cloudflare, Website, Tab Icon, Wordpress, Varnish, Google tag manager, Html5, Slack, Google pagespeed, Stripe Online Payments, Node.js, Google font api, lodash, Facebook pixel, Nginx, animate.css, Angularjs, Zendesk Chat, Cookiebot, Google PageSpeed 1.13, Amazon web services, Form Html Element, Stripe, Mysql, Linkedin Sign-in, Moment.js, Youtube, _("Responsive"), Google Site Verification, WordPress 5, Zendesk, TinyMCE, Blog, Apache, Box, Jquery ui, Sendgrid, Linkedin, Active Campaign, Javascript, Facebook, AMP</t>
  </si>
  <si>
    <t>PRINTIX.NET ApS</t>
  </si>
  <si>
    <t>DK36086416</t>
  </si>
  <si>
    <t>Hørkær 20</t>
  </si>
  <si>
    <t>https://www.printix.net/</t>
  </si>
  <si>
    <t>Operating Systems,Consumer Software,Software,Information Technology,Computer,SaaS,Enterprise,Enterprise Software</t>
  </si>
  <si>
    <t>https://app.vainu.io/vainu/prospect/23035450/</t>
  </si>
  <si>
    <t>Global Site Tag, PHP, Google adwords, Google Shopping, Bootstrap, Doubleclick, Bootstrap 2.0, Force.com, Gravatar, TLS v1.2, Google analytics, Website, Office365 email, SSL/TLS, Jquery, Mailchimp, Twitter, Litespeed, Outlook, WordPress 5.8, Flash video, Salesforce, Google maps, Microsoft exchange, Apple App Store, Cloudflare, Cxense, Yoast SEO, Wordpress, Google Conversion, Tab Icon, Flash, jQuery Migrate, Google tag manager, Google play, TLS v1.0, Modernizr, Slack, Pinterest, Google font api, Yoast SEO 16.8, Nginx, Zendesk Chat, Cookiebot, Youtube Embed, Amazon web services, Infusionsoft, Form Html Element, Vimeo, Google remarketing, Mysql, Flickr, Youtube, _("Responsive"), Google Site Verification, WordPress 5, Monsterinsights, Zendesk, Keap CRM, Recaptcha, Bootstrap 3.1, Linkedin, Javascript, Facebook, TLS v1.1</t>
  </si>
  <si>
    <t>PROCESSIO ApS</t>
  </si>
  <si>
    <t>DK33501404</t>
  </si>
  <si>
    <t>Lindvedvej 71</t>
  </si>
  <si>
    <t>ODENSE S</t>
  </si>
  <si>
    <t>www.comdia.com</t>
  </si>
  <si>
    <t>Small and Medium Businesses,B2B,Software,Information Technology,SaaS,Procurement,Business Information Systems,Management Information Systems</t>
  </si>
  <si>
    <t>https://app.vainu.io/vainu/prospect/15499872/</t>
  </si>
  <si>
    <t>Global Site Tag, Caddy, PHP, Bootstrap, Font awesome, TLS v1.2, Google analytics, Website, Office365 email, Danish, Microsoft IIS, SSL/TLS, Jquery, Twitter, Microsoft IIS 10.0, Mailchimp, Outlook, Microsoft asp.net, Office 365, Google maps, Microsoft exchange, Tab Icon, Google tag manager, Linkedin Data Partner, Xhtml, Pinterest, Linkedin Insight Tag, Google font api, Cookiebot, Facebook Share Button Plugin, jsDelivr, Form Html Element, Vimeo, jQuery UI 1.12, English, _("Responsive"), Google Site Verification, Rollbar, Jquery ui, Uikit, Youtube Embed, Javascript, Facebook, Go</t>
  </si>
  <si>
    <t>PRONESTOR ApS</t>
  </si>
  <si>
    <t>DK26694213</t>
  </si>
  <si>
    <t>Nørgaardsvej 7</t>
  </si>
  <si>
    <t>KGS.LYNGBY</t>
  </si>
  <si>
    <t>https://www.pronestor.com/dk/</t>
  </si>
  <si>
    <t>Virtual Workforce,Meeting Software,Software,Information Technology,Contact Management,SaaS,Enterprise,Productivity Tools,Management Information Systems,Scheduling</t>
  </si>
  <si>
    <t>https://app.vainu.io/vainu/prospect/1723724/</t>
  </si>
  <si>
    <t>Facebook Domain Verification, Bootstrap, TLS v1.2, Website, Office365 email, SSL/TLS, Danish, Dutch, Outlook, Microsoft exchange, Atlassian Domain Verification, Booking Widget (All), Cloudflare, Tab Icon, Wordpress, Google tag manager, Html5, TLS v1.0, Slack, Google font api, Swedish, Norwegian, Mailgun, jsDelivr, Form Html Element, English, _("Responsive"), Google Site Verification, Sendgrid, Linkedin, Active Campaign, Javascript, Facebook, TLS v1.1</t>
  </si>
  <si>
    <t>Pairy ApS</t>
  </si>
  <si>
    <t>DK38680269</t>
  </si>
  <si>
    <t>Jyllingevej 52A</t>
  </si>
  <si>
    <t>www.pairy.dk</t>
  </si>
  <si>
    <t>SaaS,Software,E-Commerce</t>
  </si>
  <si>
    <t>https://app.vainu.io/vainu/prospect/1527622212/</t>
  </si>
  <si>
    <t>PHP, Bootstrap, MasterCard, Font awesome, Gravatar, TLS v1.2, Google analytics, Website, SSL/TLS, Jquery, Twitter, Visa, W3 total cache, Cloudflare, Dankort, Yoast SEO, Wordpress, Tab Icon, jQuery Migrate, Google tag manager, Html5, TLS v1.0, Hotjar, Shop123, Stripe Online Payments, Google font api, Zendesk Chat, Form Html Element, Stripe, Yoast SEO 17.1, Mysql, _("Responsive"), Google Site Verification, Zendesk, _("Online_Store"), Apache, Trustpilot, Recaptcha, Contact Form 7 Wordpress Plugin, Ahrefs SEO tools, Javascript, Facebook, TLS v1.1</t>
  </si>
  <si>
    <t>Paperturn ApS</t>
  </si>
  <si>
    <t>DK30803582</t>
  </si>
  <si>
    <t>Lumbyvej 11D, 1. th.</t>
  </si>
  <si>
    <t>paperturn.com</t>
  </si>
  <si>
    <t>Content,B2B,Software,Internet,Publishing,SaaS</t>
  </si>
  <si>
    <t>https://app.vainu.io/vainu/prospect/22151702/</t>
  </si>
  <si>
    <t>PHP, Apache 2.4, Ubuntu, Instagram, Force.com, TLS v1.2, Google analytics, Website, SSL/TLS, Jquery, Afterpay, Twitter, Stimulus, Cxense, Tab Icon, Html5, Xhtml, Slack, Google font api, Discover, Facebook pixel, Calendly, Angularjs, Cookiebot, Zendesk Chat, Amazon web services, Form Html Element, Youtube, Linkedin, _("Responsive"), Blog, _("Online_Store"), Apache, Gmail, Trustpilot, Squarespace, Youtube Embed, Javascript, Facebook</t>
  </si>
  <si>
    <t>Sv, En, Da, De, Fr, Es</t>
  </si>
  <si>
    <t>Peakon ApS</t>
  </si>
  <si>
    <t>DK36469277</t>
  </si>
  <si>
    <t>Frederiksberggade 11, 1.</t>
  </si>
  <si>
    <t>https://peakon.com/</t>
  </si>
  <si>
    <t>Virtual Workforce,Talent Management,Software,Employee Engagement,Information Technology,Enterprise Software,SaaS,Management Information Systems,Analytics</t>
  </si>
  <si>
    <t>https://app.vainu.io/vainu/prospect/6798711/</t>
  </si>
  <si>
    <t>Facebook Domain Verification, PHP, Instagram, TLS v1.2, Website, SSL/TLS, Jquery, Danish, Twitter, WP Engine, Uikit, Google maps, Select2, Amazon CloudFront, Cloudflare, Tab Icon, Wordpress, jQuery Migrate, Google tag manager, TLS v1.0, Workday, German, French, AmazonS, Node.js, Heroku, Swedish, Express, Norwegian, Amazon web services, Form Html Element, English, Mysql, Youtube, _("Responsive"), Google Site Verification, Gmail, Bugcrowd, Docusign, Linkedin, Javascript, Facebook, TLS v1.1</t>
  </si>
  <si>
    <t>Sv, En, Da, De, Fr</t>
  </si>
  <si>
    <t>Pento ApS</t>
  </si>
  <si>
    <t>DK37959383</t>
  </si>
  <si>
    <t>Bredgade 6</t>
  </si>
  <si>
    <t>www.pento.io</t>
  </si>
  <si>
    <t>Small and Medium Businesses,B2B,Software,FinTech,Accounting,Information Technology,Human Resources,SaaS,Financial Services</t>
  </si>
  <si>
    <t>https://app.vainu.io/vainu/prospect/393173935/</t>
  </si>
  <si>
    <t>Recruitee, Webflow, Workable, Font awesome, Smartyads, TLS v1.2, Website, SSL/TLS, Jquery, Albacross Analytics, Twitter, Salesforce, Adobe Typekit, Embed.Ly, Google maps, Cloudflare, Tab Icon, Google tag manager, Varnish, Typeform, American Express, Google font api, Hubspot Email, Nginx, ZOOM, Form Html Element, Vimeo, jQuery UI 1.12, Segment, _("Responsive"), Google Site Verification, Zendesk, Greenhouse, Trustpilot, Gmail, Jquery ui, Openresty, Linkedin, Javascript, Facebook</t>
  </si>
  <si>
    <t>Plandisc A/S</t>
  </si>
  <si>
    <t>DK37204854</t>
  </si>
  <si>
    <t>Grimhøjvej 6</t>
  </si>
  <si>
    <t>www.plandisc.com</t>
  </si>
  <si>
    <t>Software,Information Technology,Education,SaaS,Management Information Systems</t>
  </si>
  <si>
    <t>https://app.vainu.io/vainu/prospect/7355499/</t>
  </si>
  <si>
    <t>PHP, Bootstrap, MasterCard, Font awesome, Intranet, TLS v1.2, Website, Microsoft IIS, Office365 email, SSL/TLS, Jquery, Microsoft IIS 10.0, Mailchimp, Danish, Dutch, Wp rocket, Outlook, Microsoft asp.net, Sharpspring, Office 365, Microsoft exchange, Booking Widget (All), Yoast SEO, Wordpress, Tab Icon, jQuery Migrate, Google tag manager, TLS v1.0, Hotjar, German, Wordpress 4, wpBakery, French, Google font api, Nginx, animate.css, Zendesk Chat, Finnish, Swedish, Norwegian, Form Html Element, Vimeo, English, Mysql, Prettyphoto, Youtube, Linkedin, _("Responsive"), Google Site Verification, Zendesk, Yoast SEO 3.3, Spanish, Youtube Embed, Javascript, Facebook, TLS v1.1</t>
  </si>
  <si>
    <t>Sv, No, En, Da, De, Nl, Fr, Es, nn, Fi</t>
  </si>
  <si>
    <t>Plature ApS</t>
  </si>
  <si>
    <t>DK38732420</t>
  </si>
  <si>
    <t>Innovations Allé 3</t>
  </si>
  <si>
    <t>VEJLE</t>
  </si>
  <si>
    <t>www.plature.com</t>
  </si>
  <si>
    <t>Hunting,Information Technology,SaaS,Software</t>
  </si>
  <si>
    <t>https://app.vainu.io/vainu/prospect/611006709/</t>
  </si>
  <si>
    <t>PHP, Apache 2.4, TLS v1.2, Website, Office365 email, SSL/TLS, Jquery, Outlook, Symfony, WordPress 5.8, Office 365, Microsoft exchange, Yoast SEO, Wordpress, Divi 4.9, Tab Icon, jQuery Migrate, Google play, Centos, TLS v1.0, Php 7.4, Google font api, OpenSSL 1.0, Cookiebot, Form Html Element, Vimeo, Yoast SEO 17.1, Flickr, Mysql, Linkedin, _("Responsive"), Google Site Verification, Divi, WordPress 5, Openssl, Apache, Youtube Embed, Javascript, Facebook, TLS v1.1</t>
  </si>
  <si>
    <t>Plecto ApS</t>
  </si>
  <si>
    <t>DK34737460</t>
  </si>
  <si>
    <t>Viby Ringvej 11, 1. tv.</t>
  </si>
  <si>
    <t>plecto.com</t>
  </si>
  <si>
    <t>Small and Medium Businesses,Business Intelligence,B2B,Software,Gamification,Information Technology,Finance,Real Time,Analytics,Marketing,SaaS,Management Information Systems,Data Visualization,Customer Service,Business Information Systems,Productivity Tools,Enterprise Software</t>
  </si>
  <si>
    <t>https://app.vainu.io/vainu/prospect/21589056/</t>
  </si>
  <si>
    <t>Facebook Domain Verification, PHP, Bamboo HR, Instagram, TLS v1.2, Google analytics, Django, Website, SSL/TLS, Jquery, Danish, Twitter, Salesforce, Python, Salesforce Lightning Platform, Adobe Typekit, Office 365, Cowboy, Atlassian Domain Verification, Salesforce Service Cloud, Cloudflare, Liveagent, Tab Icon, Google tag manager, Html5, Salesforce Live Agent, Postmark, TLS v1.0, Google play, Heroku, Fastly, Google font api, Hubspot CMS, Nginx, Angularjs, Cookiebot, Facebook Share Button Plugin, Form Html Element, English, Typekit, Google Site Verification, _("Responsive"), Atlassian Statuspage, Gmail, Recaptcha, Spanish, Hubspot, Linkedin, Javascript, Facebook, TLS v1.1</t>
  </si>
  <si>
    <t>Portchain ApS</t>
  </si>
  <si>
    <t>DK38405640</t>
  </si>
  <si>
    <t>Amaliegade 14A, st.</t>
  </si>
  <si>
    <t>portchain.com</t>
  </si>
  <si>
    <t>Artificial Intelligence,Software,Supply Chain Management,Information Technology,SaaS,Logistics,Transportation,Shipping,Machine Learning</t>
  </si>
  <si>
    <t>https://app.vainu.io/vainu/prospect/393523650/</t>
  </si>
  <si>
    <t>PHP, Workable, Instagram, Gravatar, TLS v1.2, Google analytics, Website, SSL/TLS, Jquery, Twitter, WP Engine, Office 365, Yoast SEO, Wordpress, Tab Icon, jQuery Migrate, Html5, TLS v1.0, Slack, GoToWebinar, Google font api, Hubspot CMS, Nginx, Mailgun, Form Html Element, Yoast SEO 17.1, Mysql, _("Responsive"), Google Site Verification, Hubspot Leadflows, Hubspot Analytics, Hubspot Marketing Hub, Gmail, Hubspot, Hubspot Forms, Linkedin, Javascript, Facebook, TLS v1.1</t>
  </si>
  <si>
    <t>Pragmeo ApS</t>
  </si>
  <si>
    <t>DK40898905</t>
  </si>
  <si>
    <t>c/o Anders Keldsen  Kvædevej 90</t>
  </si>
  <si>
    <t>VIRUM</t>
  </si>
  <si>
    <t>pragmeo.net</t>
  </si>
  <si>
    <t>Small and Medium Businesses,Software,Accounting,Information Technology,SaaS,Business Information Systems,Management Information Systems</t>
  </si>
  <si>
    <t>https://app.vainu.io/vainu/prospect/1814252710/</t>
  </si>
  <si>
    <t>PHP, Fwe, Apache 2.4, Ubuntu, Font awesome, TLS v1.2, Website, Office365 email, SSL/TLS, Jquery, Twitter, Outlook, Revslider, Microsoft exchange, Yoast SEO, Wordpress, Tab Icon, jQuery Migrate, Ruby, Html5, Pinterest, Revslider 6.4, Google font api, animate.css, Facebook Share Button Plugin, Amazon web services, Form Html Element, Vimeo, English, Mysql, _("Responsive"), Yoast SEO 16.6, Rackcache, Apache, Javascript, Facebook</t>
  </si>
  <si>
    <t>Previsto ApS</t>
  </si>
  <si>
    <t>DK37433969</t>
  </si>
  <si>
    <t>c/o Michael Krog  Gyldenløvesgade 9</t>
  </si>
  <si>
    <t>www.previsto.com</t>
  </si>
  <si>
    <t>Small and Medium Businesses,Consumer Software,Software,Information Technology,Service Industry,SaaS,Business Information Systems,Management Information Systems</t>
  </si>
  <si>
    <t>https://app.vainu.io/vainu/prospect/391615098/</t>
  </si>
  <si>
    <t>Global Site Tag, GitHub Pages, Caddy, PHP, Bootstrap, MasterCard, React, Help Scout, Ghost, TLS v1.2, Google analytics, Website, Mailchimp, SSL/TLS, Jquery, Ruby on rails, Amplitude, Twitter, Google Firebase, Danish, Google maps, Polyfill, Apple Pay, fy, UNPKG, Cloudflare, Github.com, Dankort, Tab Icon, Google tag manager, Varnish, Ruby, Html5, Google play, TLS v1.0, American Express, AMP, Stripe Online Payments, Fastly, Node.js, Nginx 1.19, Google font api, Nginx, Angularjs, Facebook Share Button Plugin, Norwegian, jsDelivr, Form Html Element, Stripe, English, Vimeo, Youtube, Google Plus, _("Responsive"), Google Site Verification, Rollbar, Blog, Gmail, Ghost 3.38, Uikit, Youtube Embed, Javascript, Facebook, Go</t>
  </si>
  <si>
    <t>Profitmetrics ApS</t>
  </si>
  <si>
    <t>DK40286209</t>
  </si>
  <si>
    <t>Hejreskov Alle 2C, 1. th.</t>
  </si>
  <si>
    <t>HUMLEBÆK</t>
  </si>
  <si>
    <t>https://profitmetrics.io/</t>
  </si>
  <si>
    <t>Advertising,B2C,Software,Internet,Marketing,SaaS,E-Commerce,Analytics</t>
  </si>
  <si>
    <t>https://app.vainu.io/vainu/prospect/1545419868/</t>
  </si>
  <si>
    <t>Global Site Tag, Facebook Domain Verification, Apache 2.4, PHP, Webflow, Bootstrap, TLS v1.2, Google analytics, Website, SSL/TLS, Jquery, Danish, Twitter, Flash video, Adobe Typekit, Embed.Ly, Wistia, Convert, Amazon CloudFront, Cloudflare, Tab Icon, Google tag manager, Varnish, Html5, SweetAlert, Slack, Debian, GoToWebinar, Google font api, Hubspot CMS, Hubspot Email, Nginx, animate.css, Facebook pixel, Hubspot Customer Feedback, New relic, Sleeknote, Vidyard, Youtube Embed, Amazon web services, jsDelivr, Form Html Element, English, Youtube, HubSpot CMS Hub, _("Responsive"), Google Site Verification, Apache, Gmail, Hubspot, Hubspot Forms, Openresty, Linkedin, Active Campaign, Javascript, Facebook</t>
  </si>
  <si>
    <t>Puzzel A/S</t>
  </si>
  <si>
    <t>DK25254864</t>
  </si>
  <si>
    <t>H.J. Holst Vej 5</t>
  </si>
  <si>
    <t>https://www.puzzel.com/dk/</t>
  </si>
  <si>
    <t>Software,Information Technology,Service Industry,Customer Service,SaaS,Management Information Systems,Knowledge Management,Enterprise Software</t>
  </si>
  <si>
    <t>https://app.vainu.io/vainu/prospect/6592029/</t>
  </si>
  <si>
    <t>Global Site Tag, PHP, Google adwords, Puzzel Web Chat, Teamtailor, Bootstrap, Font awesome, Instagram, Gravatar, TLS v1.2, Google analytics, Website, Office365 email, SSL/TLS, Jquery, Danish, Twitter, Pardot, Outlook, WP Engine, Salesforce Lightning Platform, Adobe Typekit, Office 365, Google maps, Atlassian Domain Verification, Drupal, Exclaimer Cloud, Microsoft exchange, Clipboard.js, Osano, Yoast SEO, Wordpress, Varnish, Tab Icon, Google tag manager, Html5, jQuery Migrate, Intelecom Chat, TLS v1.0, Yoast SEO 11.7, Modernizr, Google play, Bootstrap 4.3, Flickity, Drupal 8, Google font api, Yoast SEO 16.8, Nginx, Swedish, Gravity Forms 2.4, Popper, New relic, Salesforce marketing cloud, Finnish, Norwegian, Youtube Embed, Mailgun, Form Html Element, English, Mysql, Azure Edge, Youtube, _("Responsive"), Popper 1.14, Zendesk, Glassdoor Job Search, Cookie Consent By Insites, Trustpilot, Recaptcha, Gravity Forms, Linkedin, Javascript, Facebook, TLS v1.1</t>
  </si>
  <si>
    <t>QUALIWARE ApS</t>
  </si>
  <si>
    <t>DK30731557</t>
  </si>
  <si>
    <t>Ryttermarken 15</t>
  </si>
  <si>
    <t>FARUM</t>
  </si>
  <si>
    <t>https://www.qualiware.com/</t>
  </si>
  <si>
    <t>Compliance,Software,Risk Management,Information Technology,Enterprise Software,SaaS,Enterprise,Management Information Systems</t>
  </si>
  <si>
    <t>https://app.vainu.io/vainu/prospect/23344617/</t>
  </si>
  <si>
    <t>Global Site Tag, PHP, Google adwords, Font awesome, Gravatar, TLS v1.2, Google analytics, Website, Microsoft IIS, Office365 email, SSL/TLS, Jquery, Mailchimp, Twitter, Outlook, Office 365, Microsoft exchange, Underscore.js, Microsoft IIS 7.5, GeneratePress, Osano, Tab Icon, Wordpress, jQuery Migrate, Google tag manager, Html5, Slack, wpBakery, GoToWebinar, Google font api, Hubspot CMS, Hubspot Email, animate.css, Youtube Embed, Form Html Element, Vimeo, Mysql, _("Responsive"), Google Site Verification, WordPress 5, Cookie Consent By Insites, Apache, Recaptcha, Contact Form 7 Wordpress Plugin, Hubspot, Jquery ui, Hubspot Forms, Sitecore, Linkedin, Active Campaign, Javascript</t>
  </si>
  <si>
    <t>QUEUE-IT ApS</t>
  </si>
  <si>
    <t>DK33052901</t>
  </si>
  <si>
    <t>Skelbækgade 4, 1.</t>
  </si>
  <si>
    <t>https://queue-it.com/</t>
  </si>
  <si>
    <t>Consumer Software,Software,Online Portals,Cloud Computing,Information Technology,Internet,SaaS,Developer APIs</t>
  </si>
  <si>
    <t>https://app.vainu.io/vainu/prospect/6806421/</t>
  </si>
  <si>
    <t>PHP, Teamtailor, Ziggeo, Bootstrap, Font awesome, Instagram, TLS v1.2, Google analytics, Website, Office365 email, section.io, SSL/TLS, Amazon SES, Jquery, Twitter, Mailchimp, Outlook, Fontfaceobserver, Salesforce, Stimulus, Google maps, Microsoft exchange, Amazon CloudFront, Cloudflare, Tab Icon, Google tag manager, Varnish, Ruby, Html5, TLS v1.0, Hotjar, Slack, Heroku, Facebook Like Button Plugin, Google font api, Snapchat, Zendesk Chat, Popper, Popper 1.16, Facebook Share Button Plugin, Amazon web services, Form Html Element, Vimeo, Flickr, Linkedin, Youtube, _("Responsive"), Google Site Verification, Zendesk, Blog, Rackcache, Recaptcha, Youtube Embed, Javascript, Facebook, TLS v1.1</t>
  </si>
  <si>
    <t>QVALIA A/S</t>
  </si>
  <si>
    <t>DK34459223</t>
  </si>
  <si>
    <t>Herstedøstervej 27A, 1.</t>
  </si>
  <si>
    <t>www.qvalia.dk</t>
  </si>
  <si>
    <t>Software,Accounting,Information Technology,SaaS,Billing</t>
  </si>
  <si>
    <t>https://app.vainu.io/vainu/prospect/6798869/</t>
  </si>
  <si>
    <t>PHP, TLS v1.2, Website, Office365 email, SSL/TLS, Jquery, Outlook, Microsoft exchange, Tab Icon, Wordpress, jQuery Migrate, Google tag manager, Hubspot Meetings Plugin, Google font api, Nginx, Finnish, Norwegian, Form Html Element, English, Mysql, _("Responsive"), Hubspot Sales, Hubspot Forms, Linkedin, Javascript</t>
  </si>
  <si>
    <t>Quinyx Denmark ApS</t>
  </si>
  <si>
    <t>DK39338262</t>
  </si>
  <si>
    <t>Gammel Kongevej 60</t>
  </si>
  <si>
    <t>www.quinyx.com</t>
  </si>
  <si>
    <t>Virtual Workforce,Artificial Intelligence,Software,Task Management,Information Technology,Real Time,SaaS,Management Information Systems,Enterprise,Productivity Tools,Enterprise Software,Scheduling,Machine Learning</t>
  </si>
  <si>
    <t>https://app.vainu.io/vainu/prospect/1041321863/</t>
  </si>
  <si>
    <t>PHP, Google adwords, Google Shopping, Ziggeo, Doubleclick, Font awesome, Bootstrap, Instagram, Linkedin Analytics / Advertisement Pixel, TLS v1.2, Google analytics, Website, section.io, Mailchimp, Jquery, SSL/TLS, Danish, Twitter, Teamtailor, Dutch, Oracle marketing cloud, Fontfaceobserver, Salesforce, Stimulus, Office 365, Google maps, Linkedin Jobs Plugin, Snowplow, Amazon CloudFront, Cloudflare, Tab Icon, Google tag manager, Google Conversion, Ruby, Varnish, Html5, Google play, TLS v1.0, Linkedin Data Partner, German, Linkedin Insight Tag, Heroku, GoToWebinar, Google font api, Addthis, Facebook Like Button Plugin, Hubspot CMS, Salesforce Community, Swedish, Hubspot Email, Finnish, Vidyard, Facebook Share Button Plugin, Google remarketing, Amazon web services, TLS v1.1, Vimeo, Form Html Element, Norwegian, Linkedin Sign-in, English, Youtube, Youtube Embed, HubSpot CMS Hub, _("Responsive"), Google Site Verification, Rackcache, Hubspot Marketing Hub, Gmail, Hubspot, Hubspot Forms, Linkedin, Vue.js, Javascript, Facebook, AMP</t>
  </si>
  <si>
    <t>En, Da, Fi, De</t>
  </si>
  <si>
    <t>RELEVATE ApS</t>
  </si>
  <si>
    <t>DK34729913</t>
  </si>
  <si>
    <t>Julie Sødrings Vej 4</t>
  </si>
  <si>
    <t>relevate.dk</t>
  </si>
  <si>
    <t>https://app.vainu.io/vainu/prospect/10811916/</t>
  </si>
  <si>
    <t>PHP, Ubuntu, Bootstrap, Font awesome, Sphinx 1.2, Website, Google analytics, Slick, Mailchimp, Jquery, Salesforce, Pygments, Zurb foundation, Underscore.js, nginx 1.4, Crazy egg, Tab Icon, Wordpress, Sphinx, Html5, Xhtml, Slack, Nginx, Mysql, _("Responsive"), TLS problem, Gmail, Active Campaign, Javascript, Bootstrap 4.1</t>
  </si>
  <si>
    <t>RETURNTOOL ApS</t>
  </si>
  <si>
    <t>DK34595305</t>
  </si>
  <si>
    <t>Blågårdsgade 3, st. tv.</t>
  </si>
  <si>
    <t>returntool.com</t>
  </si>
  <si>
    <t>Consumer Applications,CRM,B2C,Software,Customer Engagement,Information Technology,Product Search,Mobile,Social CRM,SaaS,Customer Service,Apps,Mobile Apps,Management Information Systems</t>
  </si>
  <si>
    <t>https://app.vainu.io/vainu/prospect/15830963/</t>
  </si>
  <si>
    <t>PHP, Dropbox, TLS v1.2, Google analytics, Website, SSL/TLS, Jquery, W3 total cache, Flash video, Wordpress 4.9, Google maps, Yoast SEO, Wordpress, Tab Icon, jQuery Migrate, Flash, TLS v1.0, Slack, Wordpress 4, Google font api, Facebook pixel, Yoast SEO 5.6, Form Html Element, Vimeo, Mysql, Youtube, Linkedin, _("Responsive"), Blog, Apache, Youtube Embed, Javascript, Facebook, TLS v1.1</t>
  </si>
  <si>
    <t>RISIKA A/S</t>
  </si>
  <si>
    <t>DK37677892</t>
  </si>
  <si>
    <t>Sortedam Dossering 55</t>
  </si>
  <si>
    <t>www.risika.dk</t>
  </si>
  <si>
    <t>Small and Medium Businesses,API,Artificial Intelligence,B2B,Software,FinTech,Risk Management,Information Technology,Analytics,SaaS,Financial Services,Data Mining,Machine Learning</t>
  </si>
  <si>
    <t>https://app.vainu.io/vainu/prospect/395024226/</t>
  </si>
  <si>
    <t>PHP, Font awesome, React, Instagram, TLS v1.2, Google analytics, DatoCMS, Website, SSL/TLS, Jquery, Twitter, Google maps, Amazon CloudFront, Cloudflare, Tab Icon, Google tag manager, Nuxt.js, Html5, MailJet, Taboola, TLS v1.0, Hotjar, GoToWebinar, Node.js, Google font api, Hubspot CMS, Nginx, Netlify, Sleeknote, Amazon web services, Form Html Element, Linkedin Sign-in, Youtube, Hubspot Live Chat, HubSpot CMS Hub, _("Responsive"), Google Site Verification, Nginx 1.20, Blog, Gmail, Hubspot, Hubspot Forms, Linkedin, Vue.js, Javascript, Facebook, TLS v1.1</t>
  </si>
  <si>
    <t>RISMA SYSTEMS A/S</t>
  </si>
  <si>
    <t>DK32769713</t>
  </si>
  <si>
    <t>Ejby Industrivej 38</t>
  </si>
  <si>
    <t>https://www.rismasystems.com/</t>
  </si>
  <si>
    <t>Compliance,GDPR,Software,Data Protection,Risk Management,Information Technology,Privacy,Cyber Security,SaaS,Enterprise,Security,Management Information Systems,Data Security</t>
  </si>
  <si>
    <t>https://app.vainu.io/vainu/prospect/6829131/</t>
  </si>
  <si>
    <t>Facebook Domain Verification, Webflow, TLS v1.2, Website, Office365 email, SSL/TLS, Jquery, Outlook, Hr Manager, Adobe Typekit, Office 365, Embed.Ly, Microsoft exchange, Apple Pay, Google tag manager, Varnish, Slack, GoToWebinar, Google font api, Hubspot CMS, Hubspot Email, Nginx, Cookiebot, Sleeknote, Mailgun, Form Html Element, Youtube, _("Responsive"), Google Site Verification, _("Online_Store"), Hubspot Marketing Hub, Hubspot, Siteimprove Analytics, Hubspot Forms, Openresty, Linkedin, Javascript, Facebook</t>
  </si>
  <si>
    <t>RUSHFILES A/S</t>
  </si>
  <si>
    <t>DK34623422</t>
  </si>
  <si>
    <t>Chr M Østergaards Vej 4A</t>
  </si>
  <si>
    <t>HORSENS</t>
  </si>
  <si>
    <t>rushfiles.com</t>
  </si>
  <si>
    <t>File Sharing,Software,Application Performance Management,PaaS,Data Center Automation,SaaS,Cloud Data Services,Cloud Infrastructure,Data Storage,Data Security,Operating Systems,Information Technology,Flash Storage,Cloud Computing,Private Cloud,Enterprise,Cloud Storage,Security,Enterprise Software</t>
  </si>
  <si>
    <t>https://app.vainu.io/vainu/prospect/6736142/</t>
  </si>
  <si>
    <t>PHP, Webflow, Website, TLS v1.2, Google analytics, Office365 email, SSL/TLS, Jquery, Mailchimp, Twitter, Outlook, Office 365, Google maps, Microsoft exchange, Apple Pay, Tab Icon, Google tag manager, Varnish, Html5, Google play, Google font api, Nginx, jsDelivr, Form Html Element, _("Responsive"), Google Site Verification, _("Online_Store"), Openresty, Linkedin, Javascript, Facebook</t>
  </si>
  <si>
    <t>Sk, En, Da</t>
  </si>
  <si>
    <t>Rackbeat ApS</t>
  </si>
  <si>
    <t>DK39086409</t>
  </si>
  <si>
    <t>Havnegade 53B</t>
  </si>
  <si>
    <t>rackbeat.com</t>
  </si>
  <si>
    <t>Small and Medium Businesses,Consumer Software,Sales Automation,B2B,Software,Supply Chain Management,Information Technology,Enterprise Software,SaaS,Logistics,E-Commerce,Sales,Management Information Systems</t>
  </si>
  <si>
    <t>https://app.vainu.io/vainu/prospect/809148552/</t>
  </si>
  <si>
    <t>Global Site Tag, Nginx 1.17, PHP, Font awesome, Gravatar, TLS v1.2, Google analytics, Website, SSL/TLS, Jquery, Danish, Elementor, Leadfeeder, Freshdesk Freshchat, Divi 4.9, Wordpress, Tab Icon, jQuery Migrate, Google tag manager, WordPress 5.7, Google font api, Facebook pixel, Nginx, Javascript, Youtube Embed, Amazon web services, Norwegian, Form Html Element, Vimeo, English, Mysql, Flickr, Moment.js, Youtube, _("Responsive"), Divi, Google Site Verification, WordPress 5, Blog, Hubspot Analytics, _("Online_Store"), Gmail, Recaptcha, Contact Form 7 Wordpress Plugin, Hubspot, Hubspot Forms, Linkedin, Hubspot Ads Pixel, Facebook, Nginx 1.15</t>
  </si>
  <si>
    <t>Nb, En, Da</t>
  </si>
  <si>
    <t>Refactr ApS</t>
  </si>
  <si>
    <t>DK37586323</t>
  </si>
  <si>
    <t>Bjørn Andersens Vej 43</t>
  </si>
  <si>
    <t>GRÆSTED</t>
  </si>
  <si>
    <t>https://refactr.dk</t>
  </si>
  <si>
    <t>Software,Information Technology,Cloud Computing,Web Development,SaaS</t>
  </si>
  <si>
    <t>https://app.vainu.io/vainu/prospect/637620155/</t>
  </si>
  <si>
    <t>Planday, Dibs, TLS v1.2, Website, SSL/TLS, Jquery, Tab Icon, Google tag manager, Slack, Nginx, Mailgun, Form Html Element, Youtube, Linkedin, _("Responsive"), Google Site Verification, Trustpilot, Gmail, Box, Youtube Embed, Javascript</t>
  </si>
  <si>
    <t>Rejoose ApS</t>
  </si>
  <si>
    <t>DK39121506</t>
  </si>
  <si>
    <t>Finsensvej 78</t>
  </si>
  <si>
    <t>www.rejoose.com</t>
  </si>
  <si>
    <t>Virtual Workforce,Operating Systems,Consumer Software,Software,Information Technology,SaaS,Management Information Systems</t>
  </si>
  <si>
    <t>https://app.vainu.io/vainu/prospect/809200782/</t>
  </si>
  <si>
    <t>Global Site Tag, PHP, Bootstrap, MasterCard, Font awesome, Force.com, TLS v1.2, Google analytics, Website, Microsoft IIS, Chart.js, Office365 email, SSL/TLS, Jquery, Microsoft IIS 10.0, Outlook, Revslider, Microsoft asp.net, Office 365, Microsoft exchange, Yoast SEO, Wordpress, Tab Icon, jQuery Migrate, Google tag manager, Html5, TLS v1.0, Modernizr, Slack, Pinterest, Stripe Online Payments, Google font api, lodash, Facebook pixel, animate.css, Angularjs, Form Html Element, Stripe, Mysql, Moment.js, _("Responsive"), Google Site Verification, Apache, Recaptcha, Contact Form 7 Wordpress Plugin, Yoast SEO 16.2, Revslider 5.4, Linkedin, Javascript, Facebook</t>
  </si>
  <si>
    <t>Relion ApS</t>
  </si>
  <si>
    <t>DK38921746</t>
  </si>
  <si>
    <t>Universitetsbyen 7</t>
  </si>
  <si>
    <t>https://relion.dk/</t>
  </si>
  <si>
    <t>Artificial Intelligence,Software,Information Technology,Human Resources,SaaS,UX Design,Scheduling</t>
  </si>
  <si>
    <t>https://app.vainu.io/vainu/prospect/687053219/</t>
  </si>
  <si>
    <t>Global Site Tag, PHP, Ipify, MasterCard, Instagram, Gravatar, TLS v1.2, Google analytics, Website, SSL/TLS, Jquery, Twitter, Google Firebase, Litespeed, Wp rocket, WordPress 5.8, Google maps, Dankort, Yoast SEO, Wordpress, Tab Icon, Google tag manager, Google play, TLS v1.0, Google font api, Facebook pixel, Form Html Element, Yoast SEO 17.1, Mysql, Youtube, Linkedin, _("Responsive"), Google Site Verification, WordPress 5, Intercom, Trustpilot, Gmail, Hubspot, Oxygen, Youtube Embed, Javascript, Facebook, TLS v1.1</t>
  </si>
  <si>
    <t>SCANMARKET A/S</t>
  </si>
  <si>
    <t>DK26716381</t>
  </si>
  <si>
    <t>Solbjerg Hedevej 39</t>
  </si>
  <si>
    <t>SOLBJERG</t>
  </si>
  <si>
    <t>https://scanmarket.com/</t>
  </si>
  <si>
    <t>B2B,Software,Supply Chain Management,Information Technology,Contract Management,SaaS,Management Information Systems,Procurement,Business Information Systems,Enterprise Software</t>
  </si>
  <si>
    <t>https://app.vainu.io/vainu/prospect/1738645/</t>
  </si>
  <si>
    <t>PHP, Bootstrap, Doubleclick, Linkedin Analytics / Advertisement Pixel, React, TLS v1.2, Website, Office365 email, Microsoft IIS, SSL/TLS, Jquery, Microsoft IIS 10.0, Twitter, Olark, Outlook, Salesforce, Microsoft exchange, Atlassian Domain Verification, Amazon CloudFront, Cloudflare, Tab Icon, Google tag manager, Html5, Hotjar, Slack, German, French, AmazonS, GoToWebinar, Google font api, Hubspot CMS, Amazon web services, Form Html Element, English, Linkedin Sign-in, Linkedin, HubSpot CMS Hub, _("Responsive"), Google Site Verification, Blog, Hubspot Marketing Hub, Spanish, Termly, Hubspot, Hubspot Forms, Youtube Embed, Javascript, Facebook</t>
  </si>
  <si>
    <t>SCRUMWISE ApS</t>
  </si>
  <si>
    <t>DK32078273</t>
  </si>
  <si>
    <t>Classensgade 37, 4. tv.</t>
  </si>
  <si>
    <t>https://www.scrumwise.com/</t>
  </si>
  <si>
    <t>Virtual Workforce,Developer Platform,Software,Application Performance Management,Information Technology,Task Management,Project Management,SaaS,Management Information Systems,Enterprise,Collaboration,Productivity Tools,Enterprise Software</t>
  </si>
  <si>
    <t>https://app.vainu.io/vainu/prospect/8891948/</t>
  </si>
  <si>
    <t>Google adwords, Google Shopping, MasterCard, Doubleclick, TLS v1.2, Google analytics, Website, SSL/TLS, Jquery, Twitter, Web, Userlike Chat, Tab Icon, Google tag manager, Google Conversion, Html5, Google play, Slack, American Express, Stripe Online Payments, Google font api, Nginx, New relic, Google remarketing, Form Html Element, Stripe, Youtube, _("Responsive"), Google Site Verification, Blog, Recaptcha, Openresty, Youtube Embed, Javascript, Facebook</t>
  </si>
  <si>
    <t>SECUNIA ApS</t>
  </si>
  <si>
    <t>DK26833345</t>
  </si>
  <si>
    <t>Arne Jacobsens Allé 7, 5.</t>
  </si>
  <si>
    <t>flexera.com</t>
  </si>
  <si>
    <t>Operating Systems,Software,Cloud Management,Cloud Computing,Information Technology,Application Performance Management,Enterprise Software,Data Center Automation,SaaS,Enterprise,Management Information Systems</t>
  </si>
  <si>
    <t>https://app.vainu.io/vainu/prospect/6847892/</t>
  </si>
  <si>
    <t>PHP, Bootstrap, Font awesome, Instagram, Intranet, TLS v1.2, Website, Office365 email, SSL/TLS, Jquery, Twitter, Outlook, Oracle marketing cloud, Salesforce Lightning Platform, Adobe Typekit, Google maps, Atlassian Domain Verification, Amazon CloudFront, Liveagent, Adobe Experience Manager, Cxense, Tab Icon, Google tag manager, Kproxy, Html5, Salesforce Live Agent, Workday, Hotjar, German, AmazonS, Google font api, Java, Angularjs, Amazon web services, Form Html Element, Salesforce Dmp / Krux Digital, English, Linkedin, Youtube, Typekit, Google Site Verification, _("Responsive"), Extranet, Facebook Workplace, Ibm Watson Conversation Service, Glassdoor Job Search, Apache, Youtube Embed, Javascript, Facebook</t>
  </si>
  <si>
    <t>SHIELD INTELLIGENCE ApS</t>
  </si>
  <si>
    <t>DK39484358</t>
  </si>
  <si>
    <t>Nørrebrogade 36A, 1.</t>
  </si>
  <si>
    <t>www.shieldapp.ai</t>
  </si>
  <si>
    <t>Artificial Intelligence,Content,Software,Semantic Web,Real Time,Content Discovery,Social Media,SaaS,Analytics</t>
  </si>
  <si>
    <t>https://app.vainu.io/vainu/prospect/1000115058/</t>
  </si>
  <si>
    <t>Profitwell, PHP, Webflow, Linkedin Analytics / Advertisement Pixel, TLS v1.2, Website, SSL/TLS, Jquery, Twitter, Adobe Typekit, UNPKG, Cloudflare, Tab Icon, Wordpress, Varnish, Linkedin Data Partner, Slack, Linkedin Insight Tag, Stripe Online Payments, Elfsight, Google font api, Rewardful, Nginx, Form Html Element, Stripe, Youtube, Google Plus, _("Responsive"), Google Site Verification, ClickBank, Intercom, Gmail, Recaptcha, Openresty, Linkedin, Active Campaign, Javascript, Facebook</t>
  </si>
  <si>
    <t>SIMPLANNER ApS</t>
  </si>
  <si>
    <t>DK26863872</t>
  </si>
  <si>
    <t>Paludan-Müllers Vej 227</t>
  </si>
  <si>
    <t>www.simplanner.dk</t>
  </si>
  <si>
    <t>Scheduling,SaaS,Software</t>
  </si>
  <si>
    <t>https://app.vainu.io/vainu/prospect/1734710/</t>
  </si>
  <si>
    <t>PHP, Vkontakte, Font awesome, TLS v1.2, Website, SSL/TLS, Jquery, Tumblr, Swiper Slider, Litespeed, Wp rocket, Elementor, Google maps, Tab Icon, Wordpress, jQuery Migrate, Html5, TLS v1.0, Google Pay, Google font api, Whatsapp Website Icon, Form Html Element, Vimeo, Mysql, Youtube, Linkedin, Google Plus, _("Responsive"), Google Sign-in, _("Online_Store"), Apache, Youtube Embed, Javascript, Facebook, TLS v1.1</t>
  </si>
  <si>
    <t>SITECORE DANMARK A/S</t>
  </si>
  <si>
    <t>DK31579864</t>
  </si>
  <si>
    <t>Vester Farimagsgade 3, 5.</t>
  </si>
  <si>
    <t>https://www.sitecore.com/</t>
  </si>
  <si>
    <t>Content,Software,Semantic Web,Content Creators,Marketing Automation,E-Commerce,Analytics,API,Personalization,Digital Marketing,CMS,Semantic Search,SaaS,Email Marketing,Content Marketing,Web Development,Advertising,B2C,Information Technology,Product Search,Internet,Content Discovery,Enterprise Software</t>
  </si>
  <si>
    <t>https://app.vainu.io/vainu/prospect/6696491/</t>
  </si>
  <si>
    <t>Instagram, Netsuite, TLS v1.2, Website, Brightcove, Office365 email, SSL/TLS, Jquery, Danish, Twitter, Pardot, Outlook, Salesforce, Office 365, Microsoft exchange, Atlassian Domain Verification, LogMeIn, Cloudflare, Google tag manager, Html5, Slack, German, American Express, French, Addthis, Workfront, Salesforce marketing cloud, Japanese, Microsoft azure, jsDelivr, Form Html Element, English, Youtube, Moment.js, Azure Edge, _("Responsive"), Zendesk, GSAP, Box, Recaptcha, Chinese, Sitecore, Linkedin, Javascript, Facebook, Docusign</t>
  </si>
  <si>
    <t>En, Da, Ja, De, Zh, Fr</t>
  </si>
  <si>
    <t>SLEEKNOTE ApS</t>
  </si>
  <si>
    <t>DK35840699</t>
  </si>
  <si>
    <t>Jens Baggesens Vej 90A</t>
  </si>
  <si>
    <t>https://sleeknote.com/</t>
  </si>
  <si>
    <t>Advertising,Personalization,B2B,B2C,Software,Local Business,Product Search,Internet,Marketing Automation,Marketing,SaaS,E-Commerce,Email Marketing</t>
  </si>
  <si>
    <t>https://app.vainu.io/vainu/prospect/23501058/</t>
  </si>
  <si>
    <t>Facebook Domain Verification, PHP, Webflow, Bootstrap, MasterCard, Instagram, TLS v1.2, Google analytics, Website, Microsoft IIS, SSL/TLS, Jquery, Amazon SES, Microsoft IIS 10.0, Twitter, Mailchimp, Wp rocket, WP Engine, Microsoft asp.net, Adobe Typekit, Wistia, Atlassian Domain Verification, Polyfill, Clearbit, Amazon CloudFront, Cloudflare, Microsoft ASP.NET 4.0, Yoast SEO, Wordpress, Tab Icon, jQuery Migrate, Google tag manager, Html5, TLS v1.0, Slack, Bootstrap 4, American Express, GoToWebinar, Google font api, Hubspot CMS, Hubspot Email, Nginx, Youtube Embed, Amazon web services, Form Html Element, Mysql, Youtube, HubSpot CMS Hub, _("Responsive"), Google Site Verification, Opencart, _("Online_Store"), Gmail, Recaptcha, Yoast SEO 16.2, Hubspot, Hubspot Forms, Linkedin, Active Campaign, Javascript, Facebook, TLS v1.1</t>
  </si>
  <si>
    <t>SMARTER ApS</t>
  </si>
  <si>
    <t>DK32102433</t>
  </si>
  <si>
    <t>c/o AdviceCom Distribution  Amaliegade 36</t>
  </si>
  <si>
    <t>www.smarter-crm.com</t>
  </si>
  <si>
    <t>Small and Medium Businesses,CRM,Software,Information Technology,SaaS,Business Information Systems</t>
  </si>
  <si>
    <t>https://app.vainu.io/vainu/prospect/6719605/</t>
  </si>
  <si>
    <t>Bootstrap, Font awesome, TLS v1.2, Google analytics, Website, Microsoft IIS, SSL/TLS, Jquery, Danish, Microsoft asp.net, Microsoft IIS 7.5, Microsoft ASP.NET 4.0, Bootstrap 4.2, Google font api, Form Html Element, English, Youtube, _("Responsive"), Zendesk, Recaptcha, Youtube Embed, Javascript, Facebook</t>
  </si>
  <si>
    <t>Salecto ApS</t>
  </si>
  <si>
    <t>DK36976969</t>
  </si>
  <si>
    <t>Søren Frichs Vej 36M, 2.</t>
  </si>
  <si>
    <t>www.salecto.dk</t>
  </si>
  <si>
    <t>Information Technology,SaaS,Software,E-Commerce</t>
  </si>
  <si>
    <t>https://app.vainu.io/vainu/prospect/21354719/</t>
  </si>
  <si>
    <t>Global Site Tag, PHP, Bootstrap 3.3, Bootstrap, MasterCard, Font awesome, Doubleclick, Instagram, React, TLS v1.2, Google analytics, Website, SSL/TLS, Jquery, Twitter, Oracle marketing cloud, Adobe Typekit, Office 365, Apple Pay, Cloudflare, Dankort, Mobilepay, Yoast SEO, Wordpress, Tab Icon, jQuery Migrate, Google tag manager, Html5, Yoast SEO 15.9, Taboola, TLS v1.0, WordPress 5.6, Hotjar, Slack, Fastly, Google font api, Facebook pixel, Nginx, Heap, Zendesk Chat, Mailgun, Youtube Embed, Form Html Element, Vimeo, Mysql, Youtube, Typekit, Google Site Verification, _("Responsive"), WordPress 5, Atlassian Statuspage, Zendesk, CookieYes, Hubspot Analytics, _("Online_Store"), Gmail, Recaptcha, Contact Form 7 Wordpress Plugin, Hubspot, Linkedin, Active Campaign, Javascript, Facebook, TLS v1.1</t>
  </si>
  <si>
    <t>SalesClub ApS</t>
  </si>
  <si>
    <t>DK28508735</t>
  </si>
  <si>
    <t>Jens Kalstrups Vej 5</t>
  </si>
  <si>
    <t>salesclub.dk</t>
  </si>
  <si>
    <t>Small and Medium Businesses,CRM,Sales Automation,B2B,Software,Information Technology,SaaS,Sales</t>
  </si>
  <si>
    <t>https://app.vainu.io/vainu/prospect/6603336/</t>
  </si>
  <si>
    <t>Bootstrap 3.3, Bootstrap, TLS v1.2, Google analytics, Website, Office365 email, SSL/TLS, Jquery, Outlook, Microsoft asp.net, Office 365, Microsoft exchange, Kestrel, Html5, Google font api, Mailgun, Form Html Element, _("Responsive"), Online4u email, Javascript</t>
  </si>
  <si>
    <t>SameSystem A/S</t>
  </si>
  <si>
    <t>DK31487927</t>
  </si>
  <si>
    <t>Rentemestervej 2A</t>
  </si>
  <si>
    <t>samesystem.dk</t>
  </si>
  <si>
    <t>Retail,Information Technology,SaaS,Software</t>
  </si>
  <si>
    <t>https://app.vainu.io/vainu/prospect/6594499/</t>
  </si>
  <si>
    <t>Global Site Tag, PHP, Apache 2.4, Ubuntu, Doubleclick, Bootstrap, Instagram, Gravatar, TLS v1.2, Google analytics, Slick, Website, SSL/TLS, Jquery, Danish, Twitter, Dutch, Wp rocket, Google maps, Yoast SEO, Wordpress, Tab Icon, jQuery Migrate, Google tag manager, Google play, TLS v1.0, German, French, GoToWebinar, Google font api, Hubspot CMS, Swedish, Javascript, Norwegian, Form Html Element, Vimeo, English, Yoast SEO 17.1, Mysql, _("Responsive"), WordPress 5, Italian, Hubspot Analytics, Apache, Spanish, Contact Form 7 Wordpress Plugin, Hubspot, Hubspot Forms, Lithuanian, Linkedin, Hubspot Ads Pixel, Facebook, TLS v1.1</t>
  </si>
  <si>
    <t>Sv, No, En, Da, It, Lt, De, Nl, Fr, Es</t>
  </si>
  <si>
    <t>Scratcher ApS</t>
  </si>
  <si>
    <t>DK38552864</t>
  </si>
  <si>
    <t>Banevingen 10A</t>
  </si>
  <si>
    <t>https://scratcher.io/</t>
  </si>
  <si>
    <t>B2C,Software,Gamification,Gaming,Internet,Mobile,Marketing,SaaS</t>
  </si>
  <si>
    <t>https://app.vainu.io/vainu/prospect/609575243/</t>
  </si>
  <si>
    <t>PHP, Vkontakte, Ubuntu, Font awesome, TLS v1.2, Google analytics, Website, SSL/TLS, Jquery, Tumblr, Swiper Slider, W3 total cache, Revslider, Instafeed, Elementor, Yoast SEO, Wordpress, Tab Icon, jQuery Migrate, Autopilot, Html5, Google tag manager, TLS v1.0, Hotjar, Google font api, Nginx, animate.css, Javascript, jsDelivr, Whatsapp Website Icon, Form Html Element, Vimeo, Mysql, Google Plus, _("Responsive"), Google Site Verification, WordPress 5, Yoast SEO 17.0, Intercom, Gmail, Recaptcha, Contact Form 7 Wordpress Plugin, Sendgrid, Youtube Embed, Vue.js, Active Campaign, Nginx 1.18, Facebook, TLS v1.1</t>
  </si>
  <si>
    <t>Silverfin Software ApS</t>
  </si>
  <si>
    <t>DK39426803</t>
  </si>
  <si>
    <t>Højbro Plads 10</t>
  </si>
  <si>
    <t>https://www.silverfin.com</t>
  </si>
  <si>
    <t>Small and Medium Businesses,B2B,Software,Accounting,Information Technology,SaaS,Financial Services</t>
  </si>
  <si>
    <t>https://app.vainu.io/vainu/prospect/992965266/</t>
  </si>
  <si>
    <t>Global Site Tag, Google adwords, Google Shopping, Bootstrap, Doubleclick, Font awesome, Help Scout, Gravatar, TLS v1.2, Google analytics, Slick, Website, SSL/TLS, Jquery, Ruby on rails, Twitter, Dutch, Salesforce, Office 365, Wistia, Atlassian Domain Verification, Underscore.js, Amazon CloudFront, Cloudflare, Cxense, Tab Icon, Google tag manager, Google Conversion, Ruby, Html5, TLS v1.0, Slick 1.9, Linkedin Data Partner, Discourse 2.8, Hotjar, Linkedin Insight Tag, French, Heroku, GoToWebinar, Google font api, Hubspot CMS, Hubspot Email, Nginx, Angularjs, New relic, Youtube Embed, Amazon web services, Google remarketing, Form Html Element, Vimeo, jsDelivr, Bootstrap 4.0, Linkedin Sign-in, Youtube, Discourse, English, HubSpot CMS Hub, _("Responsive"), Google Site Verification, Google Cloud, Greenhouse, Blog, Hubspot Marketing Hub, Recaptcha, Hubspot, Hubspot Forms, Openresty, Linkedin, Javascript, Facebook, TLS v1.1</t>
  </si>
  <si>
    <t>Nl, En, Fr</t>
  </si>
  <si>
    <t>Skylaunchers ApS</t>
  </si>
  <si>
    <t>DK38777386</t>
  </si>
  <si>
    <t>Stormosevej 31</t>
  </si>
  <si>
    <t>HASSELAGER</t>
  </si>
  <si>
    <t>skylaunchers.com</t>
  </si>
  <si>
    <t>Software,FinTech,Finance,Information Technology,Venture Capital,SaaS,Financial Services,Consulting</t>
  </si>
  <si>
    <t>https://app.vainu.io/vainu/prospect/640901507/</t>
  </si>
  <si>
    <t>PHP, TLS v1.2, Google analytics, Website, SSL/TLS, Jquery, W3 total cache, Wordpress 4.9, Google maps, Wordpress, Html5, TLS v1.0, Slack, Pinterest, Wordpress 4, Google font api, Facebook Share Button Plugin, W3 Total Cache 0.9, Form Html Element, Vimeo, Mysql, Linkedin, Google Plus, _("Responsive"), Google Site Verification, _("Online_Store"), Apache, Gmail, Contact Form 7 Wordpress Plugin, Youtube Embed, Javascript, Facebook, TLS v1.1</t>
  </si>
  <si>
    <t>Sociuu ApS</t>
  </si>
  <si>
    <t>DK37652210</t>
  </si>
  <si>
    <t>c/o CBC  Ryesgade 3B</t>
  </si>
  <si>
    <t>www.sociuu.com</t>
  </si>
  <si>
    <t>Virtual Workforce,Software,Employee Engagement,Human Resources,Internet,Online Forums,Social,Social CRM,Social Media,SaaS</t>
  </si>
  <si>
    <t>https://app.vainu.io/vainu/prospect/397047828/</t>
  </si>
  <si>
    <t>PHP, Apache 2.4, Ubuntu, Bootstrap, Intranet, Gravatar, TLS v1.2, Website, Mailchimp, SSL/TLS, Jquery, Twitter, Yoast SEO 15.5, Yoast SEO, Wordpress, Tab Icon, Site Kit 1.23, jQuery Migrate, Google tag manager, Modernizr, GoToWebinar, Google font api, Hubspot CMS, Cookiebot, Facebook Share Button Plugin, Javascript, Amazon web services, Site Kit, Form Html Element, Vimeo, Mysql, Hubspot Live Chat, _("Responsive"), Google Site Verification, Hubspot Leadflows, Hubspot Analytics, Apache, Gmail, Hubspot, Hubspot Forms, Linkedin, Hubspot Ads Pixel, Facebook</t>
  </si>
  <si>
    <t>Solidflow ApS</t>
  </si>
  <si>
    <t>DK38879065</t>
  </si>
  <si>
    <t>c/o FREDERIK KEHLER  Andreas Bjørns Gade 22, 4. tv.</t>
  </si>
  <si>
    <t>https://21risk.com</t>
  </si>
  <si>
    <t>API,Compliance,Software,Risk Management,Information Technology,SaaS,Management Information Systems</t>
  </si>
  <si>
    <t>https://app.vainu.io/vainu/prospect/647782331/</t>
  </si>
  <si>
    <t>Global Site Tag, PHP, Auth0, Vkontakte, Linkedin Analytics / Advertisement Pixel, Gravatar, TLS v1.2, Google analytics, Website, SSL/TLS, Jquery, Tumblr, Swiper Slider, SendinBlue, Revslider, Adobe Typekit, Elementor, Cloudflare, jQuery Migrate, Wordpress, Google tag manager, Html5, Auth0 9.15, TLS v1.0, Linkedin Data Partner, Linkedin Insight Tag, Revslider 6.4, Google font api, Elementor 3.0, Auth0 Lock, Whatsapp Website Icon, Form Html Element, Vimeo, Mysql, Google Plus, _("Responsive"), Google Site Verification, Intercom, Gmail, Recaptcha, Auth0 Lock 11.28, Linkedin, Javascript, Facebook, TLS v1.1</t>
  </si>
  <si>
    <t>SquidHub ApS</t>
  </si>
  <si>
    <t>DK37201936</t>
  </si>
  <si>
    <t>Thorsvej 58</t>
  </si>
  <si>
    <t>RY</t>
  </si>
  <si>
    <t>www.squidhub.com</t>
  </si>
  <si>
    <t>File Sharing,Software,Application Performance Management,Project Management,Contact Management,iOS,SaaS,Management Information Systems,Productivity Tools,Android,Virtual Workforce,Meeting Software,Messaging,Video Chat,Web Development,Collaboration,Information Technology,Task Management,Enterprise,Enterprise Software</t>
  </si>
  <si>
    <t>https://app.vainu.io/vainu/prospect/23420124/</t>
  </si>
  <si>
    <t>PHP, Socket.IO, MasterCard, Font awesome, Ubuntu, Bootstrap, Material Design Lite, TLS v1.2, Google analytics, Website, Mailchimp, SSL/TLS, Jquery, Twitter, Instafeed, Nginx 1.14, Apple App Store, Amazon CloudFront, Twitter Emoji (Twemoji), Wordpress, Tab Icon, Google play, American Express, Stripe Online Payments, AmazonS, Node.js, Google font api, lodash, Facebook pixel, Nginx, Angularjs, Zendesk Chat, Express, Amazon web services, Bootstrap 4.7, Stripe, Vimeo, Flickr, Moment.js, Linkedin, Youtube, _("Responsive"), Google Site Verification, Intercom, Zendesk, Gmail, Youtube Embed, Active Campaign, Javascript, Facebook</t>
  </si>
  <si>
    <t>Superb ApS</t>
  </si>
  <si>
    <t>DK39478021</t>
  </si>
  <si>
    <t>c/o Founders House/Matrikel1  Højbro Plads 10</t>
  </si>
  <si>
    <t>superbexperience.com</t>
  </si>
  <si>
    <t>Food and Beverage,Software,Restaurants,Information Technology,SaaS,E-Commerce,Hospitality,Management Information Systems</t>
  </si>
  <si>
    <t>https://app.vainu.io/vainu/prospect/993713859/</t>
  </si>
  <si>
    <t>PHP, Instagram, TLS v1.2, Website, SSL/TLS, Jquery, Afterpay, Stimulus, Embed.Ly, Wistia, Tab Icon, Google tag manager, Typeform, TLS v1.0, Xhtml, Weglot, Jimdo, Google font api, Drift Chat, Facebook pixel, Shopify, Mailgun, Youtube Embed, Amazon web services, jsDelivr, Form Html Element, Vimeo, Youtube, _("Responsive"), Google Site Verification, _("Online_Store"), Squarespace, Gmail, Hubspot, Linkedin, Javascript, Facebook, TLS v1.1</t>
  </si>
  <si>
    <t>Sustainable Procurement Aps</t>
  </si>
  <si>
    <t>DK41908920</t>
  </si>
  <si>
    <t>Ragnagade 7</t>
  </si>
  <si>
    <t>sustainableprocurement.dk</t>
  </si>
  <si>
    <t>B2B,Software,Sourcing,Supply Chain Management,Information Technology,Contract Management,SaaS,Sustainability,Procurement,Management Information Systems</t>
  </si>
  <si>
    <t>https://app.vainu.io/vainu/prospect/2273570928/</t>
  </si>
  <si>
    <t>PHP, Vkontakte, Font awesome, TLS v1.2, Google analytics, Website, SSL/TLS, Jquery, Tumblr, Swiper Slider, Litespeed, Elementor, jQuery Migrate, Wordpress, Google tag manager, Html5, TLS v1.0, Google font api, Site Kit, Whatsapp Website Icon, Form Html Element, Vimeo, Mysql, Google Plus, _("Responsive"), WordPress 5, Opencart, _("Online_Store"), Site Kit 1.41, Linkedin, Javascript, Facebook, TLS v1.1</t>
  </si>
  <si>
    <t>TAMIGO ApS</t>
  </si>
  <si>
    <t>DK28277679</t>
  </si>
  <si>
    <t>Kristianiagade 8</t>
  </si>
  <si>
    <t>tamigo.dk</t>
  </si>
  <si>
    <t>Small and Medium Businesses,Software,Application Performance Management,Information Technology,Staffing Agency,Customer Service,SaaS,Apps,Business Information Systems,Management Information Systems</t>
  </si>
  <si>
    <t>https://app.vainu.io/vainu/prospect/23472498/</t>
  </si>
  <si>
    <t>Icelandic, Polish, Azure Application Insights, TLS v1.2, Website, Office365 email, SSL/TLS, Jquery, Mailchimp, Dutch, Outlook, Microsoft exchange, Cookie Script, Google tag manager, Html5, Google play, Portuguese, German, French, Finnish, Norwegian, Microsoft azure, Form Html Element, _("Responsive"), Belarusian, Zendesk, Hungarian, Ukrainian, Italian, Aurelia, Recaptcha, Appinsights, Linkedin, Javascript</t>
  </si>
  <si>
    <t>TANGORA SOFTWARE A/S</t>
  </si>
  <si>
    <t>DK20608234</t>
  </si>
  <si>
    <t>Agern Alle 24</t>
  </si>
  <si>
    <t>www.tangora.dk</t>
  </si>
  <si>
    <t>Information Technology,Cloud Computing,SaaS,Software</t>
  </si>
  <si>
    <t>https://app.vainu.io/vainu/prospect/6666618/</t>
  </si>
  <si>
    <t>Intranet, Website, TLS v1.2, SSL/TLS, Google Site Verification, Form Html Element, Linkedin, Microsoft asp.net, Javascript, _("Responsive"), Office 365</t>
  </si>
  <si>
    <t>TEMPLAFY ApS</t>
  </si>
  <si>
    <t>DK25662946</t>
  </si>
  <si>
    <t>Wilders Plads 15A, 2.</t>
  </si>
  <si>
    <t>templafy.com</t>
  </si>
  <si>
    <t>Consumer Software,Software,Brand Marketing,Information Technology,Contact Management,Document Management,SaaS,Enterprise,Business Information Systems,Productivity Tools,Enterprise Software</t>
  </si>
  <si>
    <t>https://app.vainu.io/vainu/prospect/6915295/</t>
  </si>
  <si>
    <t>Global Site Tag, Facebook Domain Verification, PHP, Dropbox, Bootstrap, Font awesome, Intranet, Netsuite, TLS v1.2, Google analytics, Website, Microsoft IIS, Office365 email, SSL/TLS, Jquery, Microsoft IIS 10.0, Twitter, OneTrust, Dutch, Outlook, Salesforce, Microsoft asp.net, Bizible, Microsoft exchange, Amazon CloudFront, Cloudflare, Microsoft ASP.NET 4.0, Tab Icon, Wordpress, Google tag manager, Cookielaw, Marketo, TLS v1.0, Hotjar, German, envoy, Optanon Cookie Consent, GoToWebinar, Google font api, Hubspot CMS, Hubspot Email, Drift Chat, Istio-Envoy, Zendesk Chat, Facebook pixel, Amazon web services, Microsoft azure, Form Html Element, Bootstrap 4.7, English, Mysql, ZOOM, Youtube, HubSpot CMS Hub, _("Responsive"), Google Site Verification, Zendesk, Greenhouse, Hubspot Analytics, Hubspot Marketing Hub, Hubspot, Hubspot Forms, Docusign, Linkedin, Javascript, Facebook, TLS v1.1</t>
  </si>
  <si>
    <t>Nl, En, De</t>
  </si>
  <si>
    <t>TIMELOG A/S</t>
  </si>
  <si>
    <t>DK25896939</t>
  </si>
  <si>
    <t>Vesterbrogade 149</t>
  </si>
  <si>
    <t>www.timelog.dk</t>
  </si>
  <si>
    <t>Virtual Workforce,Small and Medium Businesses,Software,Information Technology,Contract Management,Project Management,Task Management,SaaS,Management Information Systems,Enterprise,Business Information Systems,Productivity Tools,Enterprise Software,Scheduling</t>
  </si>
  <si>
    <t>https://app.vainu.io/vainu/prospect/1714557/</t>
  </si>
  <si>
    <t>PHP, Teamtailor, Bootstrap, MasterCard, TLS v1.2, Website, Slick, Office365 email, SSL/TLS, Jquery, Danish, Twitter, Outlook, Stimulus, Adobe Typekit, Office 365, Google maps, Microsoft exchange, Dankort, Google tag manager, Flash, Linkedin Data Partner, Linkedin Insight Tag, GoToWebinar, Facebook Like Button Plugin, Google font api, Hubspot CMS, Hubspot Email, Swedish, Angularjs, Form Html Element, Vimeo, English, Youtube, Linkedin, Google Plus, _("Responsive"), Google Site Verification, Extranet, Zendesk, Hubspot Marketing Hub, Trustpilot, Hubspot, Hubspot Forms, Youtube Embed, Javascript, Facebook</t>
  </si>
  <si>
    <t>TIMEPLAN A/S</t>
  </si>
  <si>
    <t>DK25281462</t>
  </si>
  <si>
    <t>Vandmanden 10C</t>
  </si>
  <si>
    <t>https://www.timeplan-software.com/</t>
  </si>
  <si>
    <t>Virtual Workforce,Software,Information Services,Information Technology,Human Resources,Internet,SaaS,Management Information Systems,Scheduling</t>
  </si>
  <si>
    <t>https://app.vainu.io/vainu/prospect/1738366/</t>
  </si>
  <si>
    <t>PHP, Crowdio Chat, Google adwords, Google Shopping, Underscore.js 1.8, Doubleclick, Linkedin Analytics / Advertisement Pixel, Gravatar, TLS v1.2, Google analytics, Website, Office365 email, SSL/TLS, Jquery, Danish, Twitter, Dutch, Outlook, WP Engine, Office 365, Divi 4.4, Microsoft exchange, Underscore.js, Yoast SEO, Wordpress, Google Conversion, Tab Icon, jQuery Migrate, Google tag manager, MailJet, TLS v1.0, Linkedin Data Partner, German, Linkedin Insight Tag, Google font api, Facebook pixel, Nginx, Swedish, Yoast SEO 17.2, Cookiebot, Finnish, Norwegian, Youtube Embed, Google remarketing, Microsoft Word, Form Html Element, Vimeo, English, Mysql, Flickr, Youtube, Google Plus, _("Responsive"), Divi, Google Site Verification, MaxMind, Cookie Consent By Insites, Recaptcha, Handlebars, Gravity Forms, Linkedin, Javascript, Facebook, TLS v1.1</t>
  </si>
  <si>
    <t>Sv, No, En, Da, De, Nl, Nb, Fi</t>
  </si>
  <si>
    <t>TIMESHEET REPORTER ApS</t>
  </si>
  <si>
    <t>DK31851777</t>
  </si>
  <si>
    <t>Smakkegårdsvej 173, st. tv.</t>
  </si>
  <si>
    <t>GENTOFTE</t>
  </si>
  <si>
    <t>timesheetreporter.com/dk</t>
  </si>
  <si>
    <t>Virtual Workforce,Consumer Software,Software,Information Technology,Task Management,SaaS,Business Information Systems,Productivity Tools,Management Information Systems</t>
  </si>
  <si>
    <t>https://app.vainu.io/vainu/prospect/6887642/</t>
  </si>
  <si>
    <t>PHP, Google adwords, Google Shopping, Doubleclick, Font awesome, Gravatar, TLS v1.2, Google analytics, Website, Office365 email, SSL/TLS, Jquery, Mailchimp, Twitter, Outlook, Revslider, Microsoft exchange, Exclaimer Cloud, Maestro, Wordpress, Google Conversion, jQuery Migrate, Flash, Google tag manager, TLS v1.0, Revslider 6.4, Facebook Like Button Plugin, Google font api, Lightbox, Facebook pixel, Nginx, Google remarketing, Form Html Element, Vimeo, Mysql, Prettyphoto, Youtube, Linkedin, _("Responsive"), Contact Form 7 Wordpress Plugin, Youtube Embed, Javascript, Facebook, TLS v1.1</t>
  </si>
  <si>
    <t>TRICOM ApS</t>
  </si>
  <si>
    <t>DK33574223</t>
  </si>
  <si>
    <t>Holmbladsgade 133, 4.</t>
  </si>
  <si>
    <t>www.tricom.dk</t>
  </si>
  <si>
    <t>B2B,Software,Supply Chain Management,Software Engineering,Contract Management,Information Technology,SaaS,Cloud Data Services,E-Commerce,Procurement,Business Information Systems,Management Information Systems</t>
  </si>
  <si>
    <t>https://app.vainu.io/vainu/prospect/22056156/</t>
  </si>
  <si>
    <t>PHP, All in One SEO Pack 3.1, Dropbox, Font awesome, TLS v1.2, Google analytics, Website, SSL/TLS, Jquery, Danish, Outlook, Flash video, Google maps, Microsoft exchange, WP-Statistics 12.6, Tab Icon, Wordpress, Google tag manager, Flash, Google font api, Lightbox, animate.css, WP-Statistics, All in One SEO Pack, Norwegian, Form Html Element, Vimeo, English, Mysql, Linkedin, _("Responsive"), Google Site Verification, WordPress 5, Blog, Apache, Gmail, Contact Form 7 Wordpress Plugin, Hubspot, Youtube Embed, Javascript, Facebook, TLS v1.1</t>
  </si>
  <si>
    <t>Nb, No, En, Da</t>
  </si>
  <si>
    <t>TURIS ApS</t>
  </si>
  <si>
    <t>DK39658607</t>
  </si>
  <si>
    <t>Klosterstræde 23, st.</t>
  </si>
  <si>
    <t>https://turis.app/</t>
  </si>
  <si>
    <t>Small and Medium Businesses,B2B,B2C,Software,Product Search,Internet,E-Commerce Platforms,SaaS,E-Commerce,Marketplace</t>
  </si>
  <si>
    <t>https://app.vainu.io/vainu/prospect/1110287870/</t>
  </si>
  <si>
    <t>Facebook Domain Verification, PHP, TLS v1.2, Website, SSL/TLS, Adobe Typekit, Wordpress, Google tag manager, TLS v1.0, Google font api, Mailgun, Mysql, _("Responsive"), Google Site Verification, WordPress 5, Gmail, Hubspot, Linkedin, Javascript, Facebook, TLS v1.1</t>
  </si>
  <si>
    <t>TUTEE ApS</t>
  </si>
  <si>
    <t>DK32345271</t>
  </si>
  <si>
    <t>Havnegade 62</t>
  </si>
  <si>
    <t>ESBJERG</t>
  </si>
  <si>
    <t>www.tutee.dk</t>
  </si>
  <si>
    <t>EdTech,Tutoring,Software,Information Technology,Education,E-Learning,SaaS,Collaboration</t>
  </si>
  <si>
    <t>https://app.vainu.io/vainu/prospect/23412966/</t>
  </si>
  <si>
    <t>PHP, Bootstrap, TLS v1.2, Google analytics, Website, SSL/TLS, Jquery, Litespeed, Revslider, Office 365, Wordpress 4.9, Revslider 5.2, Yoast SEO, Wordpress, Tab Icon, jQuery Migrate, TLS v1.0, Wordpress 4, Google font api, animate.css, Form Html Element, Vimeo, Mysql, Linkedin, Yoast SEO 6.1, _("Responsive"), Google Site Verification, OWL Carousel, Gmail, Youtube Embed, Javascript, TLS v1.1</t>
  </si>
  <si>
    <t>TalentHub.io A/S</t>
  </si>
  <si>
    <t>DK38623508</t>
  </si>
  <si>
    <t>Nyhavnsgade 14, 4.</t>
  </si>
  <si>
    <t>https://talenthub.io/en/</t>
  </si>
  <si>
    <t>Career Planning,Software,Information Technology,Social Recruiting,Human Resources,Internet,Employer Branding,Staffing Agency,SaaS,Recruiting</t>
  </si>
  <si>
    <t>https://app.vainu.io/vainu/prospect/610401659/</t>
  </si>
  <si>
    <t>PHP, Webflow, Bootstrap 3.3, Bootstrap, Jobvite, Instagram, TLS v1.2, Website, SSL/TLS, Jquery, Adobe Typekit, Embed.Ly, Apple Pay, UNPKG, Tab Icon, Google tag manager, Varnish, Hotjar, Xhtml, Google font api, Nginx, ActiveCampaign, Amazon web services, Form Html Element, Vimeo, _("Responsive"), Google Site Verification, Glassdoor Job Search, _("Online_Store"), Gmail, Recaptcha, Hubspot, Openresty, Linkedin, Vue.js, Active Campaign, Javascript, Facebook, Nginx 1.15</t>
  </si>
  <si>
    <t>Team Key IVS</t>
  </si>
  <si>
    <t>DK38276255</t>
  </si>
  <si>
    <t>Einar Packness Vej 2</t>
  </si>
  <si>
    <t>www.teamkey.dk</t>
  </si>
  <si>
    <t>Productivity Tools,SaaS,Software,Apps</t>
  </si>
  <si>
    <t>https://app.vainu.io/vainu/prospect/394044665/</t>
  </si>
  <si>
    <t>PHP, Apache 2.4, Php 7.3, MasterCard, Quickpay, Website, Office365 email, Jquery, Visa, Outlook, Microsoft exchange, Mobilepay, Tab Icon, Wordpress, jQuery Migrate, Google play, Slack, Google font api, Freebsd, Woocommerce, OpenSSL 1.0, WooCommerce 5.6, Form Html Element, Vimeo, Mysql, Youtube, _("Responsive"), WordPress 5, Openssl, _("Online_Store"), OWL Carousel, Apache, Contact Form 7 Wordpress Plugin, Youtube Embed, Javascript</t>
  </si>
  <si>
    <t>Teamstowork ApS</t>
  </si>
  <si>
    <t>DK38748807</t>
  </si>
  <si>
    <t>Gefionsvej 6C</t>
  </si>
  <si>
    <t>www.teamstowork.com</t>
  </si>
  <si>
    <t>Virtual Workforce,Software,Information Technology,Task Management,Contact Management,SaaS,Management Information Systems,Enterprise,Collaboration,Productivity Tools,Enterprise Software</t>
  </si>
  <si>
    <t>https://app.vainu.io/vainu/prospect/640565685/</t>
  </si>
  <si>
    <t>Global Site Tag, Bootstrap, TLS v1.2, Google analytics, Website, Office365 email, Microsoft IIS, SSL/TLS, Jquery, Afterpay, Microsoft IIS 10.0, Outlook, Microsoft asp.net, Adobe Typekit, Microsoft exchange, Microsoft ASP.NET 4.0, Tab Icon, Google tag manager, Html5, TLS v1.0, Xhtml, Slack, Zendesk Chat, New relic, Form Html Element, Vimeo, Linkedin, _("Responsive"), Google Site Verification, Zendesk, Squarespace, Youtube Embed, Javascript, Facebook, TLS v1.1</t>
  </si>
  <si>
    <t>Temply ApS</t>
  </si>
  <si>
    <t>DK38346598</t>
  </si>
  <si>
    <t>Kronprinsensgade 3, 2.</t>
  </si>
  <si>
    <t>www.temply.com</t>
  </si>
  <si>
    <t>Virtual Workforce,Software,Information Technology,Human Resources,Internet,Staffing Agency,SaaS,Apps,Recruiting</t>
  </si>
  <si>
    <t>https://app.vainu.io/vainu/prospect/391854042/</t>
  </si>
  <si>
    <t>PHP, MasterCard, TLS v1.2, Website, SSL/TLS, Jquery, Danish, Twitter, Visa, Cowboy, Google maps, Apple App Store, Mixpanel Analytics, Optimizely, Dankort, Tab Icon, Google tag manager, Html5, Google play, TLS v1.0, Heroku, Adobe Analytics, Google font api, Form Html Element, English, Youtube, Alpine.js, Linkedin, _("Responsive"), Google Site Verification, Intercom, Blog, Gmail, Hubspot, Sendgrid, Youtube Embed, Javascript, Facebook, TLS v1.1</t>
  </si>
  <si>
    <t>TestLab ApS</t>
  </si>
  <si>
    <t>DK36956984</t>
  </si>
  <si>
    <t>Vestergade 16, 3.</t>
  </si>
  <si>
    <t>preely.com</t>
  </si>
  <si>
    <t>Virtual Workforce,Developer Platform,Software,Gamification,Product Management,Test and Measurement,Information Technology,Education,Knowledge Management,Developer Tools,SaaS,UX Design,Web Design,Productivity Tools</t>
  </si>
  <si>
    <t>https://app.vainu.io/vainu/prospect/14370707/</t>
  </si>
  <si>
    <t>Global Site Tag, PHP, Bootstrap, Font awesome, Instagram, Gravatar, TLS v1.2, Google analytics, Website, SSL/TLS, Jquery, Twitter, Wp rocket, Mixpanel Analytics, Amazon CloudFront, Mobilepay, Tab Icon, Wordpress, jQuery Migrate, Google tag manager, Flash, Html5, MailJet, Bootstrap 4.4, TLS v1.0, Yii, Pinterest, wpBakery, Stripe Online Payments, GoToWebinar, Google font api, Hubspot CMS, Hubspot Email, Nginx, Facebook pixel, Javascript, Youtube Embed, Amazon web services, Form Html Element, Stripe, Vimeo, Mysql, Youtube, Hubspot Live Chat, _("Responsive"), Nginx 1.20, Google Site Verification, WordPress 5, Hubspot Leadflows, Hubspot Analytics, OWL Carousel, Apache, Gmail, Hubspot, Sendgrid, Hubspot Forms, Linkedin, Hubspot Ads Pixel, Facebook, TLS v1.1</t>
  </si>
  <si>
    <t>TimeGuru A/S</t>
  </si>
  <si>
    <t>DK38476270</t>
  </si>
  <si>
    <t>Lille Havelsevej 110</t>
  </si>
  <si>
    <t>ØLSTED</t>
  </si>
  <si>
    <t>timeguru.org</t>
  </si>
  <si>
    <t>Software,Information Technology,SaaS,Business Information Systems,Management Information Systems,Scheduling</t>
  </si>
  <si>
    <t>https://app.vainu.io/vainu/prospect/609582319/</t>
  </si>
  <si>
    <t>Global Site Tag, PHP, Linkedin Analytics / Advertisement Pixel, Gravatar, Website, Google analytics, Danish, SSL/TLS, Tab Icon, Wordpress, Varnish, Google tag manager, TLS v1.0, Linkedin Data Partner, Linkedin Insight Tag, Google font api, Varnish 7.0, Form Html Element, English, Mysql, _("Responsive"), Google Site Verification, Apache, Gmail, Linkedin, Javascript, Facebook, TLS v1.1</t>
  </si>
  <si>
    <t>TimeLeft ApS</t>
  </si>
  <si>
    <t>DK39372770</t>
  </si>
  <si>
    <t>c/o Kozmonaut Marketing  Mukkerten 21</t>
  </si>
  <si>
    <t>ESBJERG N</t>
  </si>
  <si>
    <t>timeleft.dk</t>
  </si>
  <si>
    <t>https://app.vainu.io/vainu/prospect/1041580696/</t>
  </si>
  <si>
    <t>PHP, Bootstrap, Gravatar, TLS v1.2, Website, SSL/TLS, Jquery, Litespeed, WordPress 5.8, Yoast SEO, Wordpress, jQuery Migrate, TLS v1.0, Modernizr, Lightbox, Form Html Element, Vimeo, Mysql, Youtube, _("Responsive"), WordPress 5, Yoast SEO 17.0, Choices, Youtube Embed, Javascript, Facebook, TLS v1.1</t>
  </si>
  <si>
    <t>Tooltracker ApS</t>
  </si>
  <si>
    <t>DK38604147</t>
  </si>
  <si>
    <t>Amager Strandvej 22D, 1. tv.</t>
  </si>
  <si>
    <t>www.tooltracker.dk</t>
  </si>
  <si>
    <t>Productivity Tools,SaaS,Software</t>
  </si>
  <si>
    <t>https://app.vainu.io/vainu/prospect/792499686/</t>
  </si>
  <si>
    <t>PHP, Apache 2.4, Ubuntu, Gravatar, TLS v1.2, Website, SSL/TLS, Jquery, Twitter, Google Firebase, Revslider, Flash video, Revslider 6.5, Dankort, Yoast SEO, Wordpress, Tab Icon, jQuery Migrate, Flash, Google tag manager, TLS v1.0, Slack, Pinterest, Google font api, Nginx, animate.css, Facebook Share Button Plugin, Form Html Element, Vimeo, Yoast SEO 17.1, Mysql, _("Responsive"), Nginx 1.20, Google Site Verification, WordPress 5, _("Online_Store"), Apache, Gmail, Contact Form 7 Wordpress Plugin, Linkedin, Javascript, Facebook, TLS v1.1</t>
  </si>
  <si>
    <t>Traede ApS</t>
  </si>
  <si>
    <t>DK38492985</t>
  </si>
  <si>
    <t>Købmagergade 55, 2.</t>
  </si>
  <si>
    <t>https://traede.com/</t>
  </si>
  <si>
    <t>Small and Medium Businesses,CRM,Enterprise Resource Planning (ERP),Sales Automation,B2C,Software,Product Management,Information Technology,Product Search,E-Commerce Platforms,SaaS,E-Commerce,Sales,Enterprise Software,Trading Platform</t>
  </si>
  <si>
    <t>https://app.vainu.io/vainu/prospect/642843172/</t>
  </si>
  <si>
    <t>PHP, TLS v1.2, Google analytics, Website, Mailchimp, SSL/TLS, Jquery, Twitter, Wp rocket, Cloudflare, Tab Icon, Wordpress, Google tag manager, Traede B2B Sales, Html5, Pinterest, wpBakery, Google font api, lodash, Hubspot CMS, Nginx, Hubspot Customer Feedback, Facebook Share Button Plugin, Youtube Embed, Amazon web services, jQuery UI 1.11, Form Html Element, Javascript, Vimeo, Mysql, Youtube, Hubspot Live Chat, HubSpot CMS Hub, _("Responsive"), Google Site Verification, WordPress 5, Nginx 1.16, Hubspot Analytics, Gmail, Contact Form 7 Wordpress Plugin, Jquery ui, Hubspot, Hubspot Forms, Linkedin, Hubspot Ads Pixel, Facebook</t>
  </si>
  <si>
    <t>Upchannel ApS</t>
  </si>
  <si>
    <t>DK38605178</t>
  </si>
  <si>
    <t>Lysholt Allé 3</t>
  </si>
  <si>
    <t>www.upchannel.eu</t>
  </si>
  <si>
    <t>Small and Medium Businesses,B2B,B2C,Software,Internet,E-Commerce Platforms,SaaS,E-Commerce</t>
  </si>
  <si>
    <t>https://app.vainu.io/vainu/prospect/641980422/</t>
  </si>
  <si>
    <t>PHP, Vkontakte, MasterCard, Gravatar, TLS v1.2, Google analytics, Website, Mailchimp, SSL/TLS, Jquery, Revslider, Flash video, Adobe Typekit, Wistia, Spot.Im / Disgus, Yoast SEO, Wordpress, Varnish, Tab Icon, Flash, jQuery Migrate, Yoast SEO 13.3, TLS v1.0, Hotjar, Pinterest, Stripe Online Payments, Google font api, Addthis, Facebook pixel, animate.css, Zendesk Chat, Dibs Payments, Varnish 7.0, Form Html Element, Vimeo, Mysql, Youtube, Google Plus, Hubspot Live Chat, Typekit, _("Responsive"), WordPress 5, Blog, Hubspot Analytics, _("Online_Store"), Apache, Sap Customer Data Cloud / Gigya, Recaptcha, Contact Form 7 Wordpress Plugin, Hubspot, Hubspot Forms, Revslider 5.4, Youtube Embed, Gosquared Analytics, Javascript, Facebook, TLS v1.1</t>
  </si>
  <si>
    <t>Upodi ApS</t>
  </si>
  <si>
    <t>DK38558862</t>
  </si>
  <si>
    <t>Mariane Thomsens Gade 2F, 9. 1.</t>
  </si>
  <si>
    <t>www.upodi.com</t>
  </si>
  <si>
    <t>Small and Medium Businesses,API,Payments,Software,FinTech,Finance,Information Technology,Business Development,SaaS,Financial Services,Billing,Management Information Systems</t>
  </si>
  <si>
    <t>https://app.vainu.io/vainu/prospect/1015651656/</t>
  </si>
  <si>
    <t>Facebook Domain Verification, PHP, Dibs, MasterCard, Instagram, Intranet, TLS v1.2, Google analytics, Slick, Office365 email, SSL/TLS, Jquery, Website, Mailchimp, Twitter, Visa, Outlook, Oracle marketing cloud, Office 365, Microsoft exchange, Booking Widget (All), Amazon CloudFront, Ideal, Cloudflare, Dankort, Mobilepay, Tab Icon, Google tag manager, Html5, TLS v1.0, American Express, Heroku, GoToWebinar, Google font api, Hubspot CMS, Braintree Payments, Angularjs, Cookiebot, Vidyard, Amazon web services, jsDelivr, Form Html Element, Linkedin Sign-in, HubSpot CMS Hub, _("Responsive"), Google Site Verification, Segment, Extranet, Intercom, Hubspot Marketing Hub, Castle Accont Takeout Prevention, Hubspot, Sendgrid, Hubspot Forms, Slick 1.6, Linkedin, Javascript, Facebook, TLS v1.1</t>
  </si>
  <si>
    <t>Valuer.ai ApS</t>
  </si>
  <si>
    <t>DK38409336</t>
  </si>
  <si>
    <t>c/o Andersen Advisory Group A/S  Kristianiagade 7</t>
  </si>
  <si>
    <t>https://valuer.ai/</t>
  </si>
  <si>
    <t>Internet of Things,Software,Analytics,Emerging Markets,B2B,Product Research,SaaS,Big Data,Business Information Systems,Crowdsourcing,FinTech,Online Forums,Artificial Intelligence,B2C,Product Management,Information Technology,Innovation Management,Product Search,Internet,Business Development,Enterprise,CleanTech,Enterprise Software,Market Research</t>
  </si>
  <si>
    <t>https://app.vainu.io/vainu/prospect/393167696/</t>
  </si>
  <si>
    <t>Global Site Tag, PHP, Google adwords, Doubleclick, Linkedin Analytics / Advertisement Pixel, Instagram, TLS v1.2, Google analytics, Website, Mailchimp, SSL/TLS, Jquery, Twitter, Microsoft asp.net, Requirejs, Amazon CloudFront, Cloudflare, Tab Icon, Wordpress, Google tag manager, Html5, TLS v1.0, Linkedin Data Partner, Xhtml, Linkedin Insight Tag, Google font api, Discover, Hubspot CMS, New relic, Facebook Share Button Plugin, Youtube Embed, Amazon web services, Form Html Element, Linkedin Sign-in, Youtube, HubSpot CMS Hub, _("Responsive"), Google Site Verification, Intercom, Highstock, Blog, Highstock 4.2, Hubspot Marketing Hub, Gmail, Hubspot, Ahrefs SEO tools, Hubspot Forms, Linkedin, Javascript, Facebook, TLS v1.1</t>
  </si>
  <si>
    <t>VictorChat</t>
  </si>
  <si>
    <t>DK26753422</t>
  </si>
  <si>
    <t>Nyvej 9</t>
  </si>
  <si>
    <t>DALMOSE</t>
  </si>
  <si>
    <t>victorchat.dk</t>
  </si>
  <si>
    <t>Consumer Software,Messaging,Software,Information Technology,Video Chat,Contact Management,Internet,Customer Service,SaaS,Productivity Tools</t>
  </si>
  <si>
    <t>https://app.vainu.io/vainu/prospect/22167521/</t>
  </si>
  <si>
    <t>PHP, Font awesome, TLS v1.2, Google analytics, Website, Danish, SSL/TLS, Jquery, Twitter, Tab Icon, Flash, TLS v1.0, Modernizr, Xhtml, Slack, Facebook Like Button Plugin, animate.css, New relic, Form Html Element, Vimeo, English, Prettyphoto, Youtube, _("Responsive"), Opencart, _("Online_Store"), Apache, Skype Call / Chat, Youtube Embed, Javascript, Facebook, TLS v1.1</t>
  </si>
  <si>
    <t>Viva Invest XI ApS</t>
  </si>
  <si>
    <t>DK40627898</t>
  </si>
  <si>
    <t>Hårupvej 22C</t>
  </si>
  <si>
    <t>SILKEBORG</t>
  </si>
  <si>
    <t>timero.dk</t>
  </si>
  <si>
    <t>https://app.vainu.io/vainu/prospect/1688098902/</t>
  </si>
  <si>
    <t>MasterCard, TLS v1.2, Google analytics, Website, SSL/TLS, Jquery, Visa, Polyfill, Apple App Store, Amazon CloudFront, Tab Icon, Google tag manager, Google play, AmazonS, Facebook pixel, Amazon web services, _("Responsive"), Google Site Verification, Facebook Chat, Javascript, Facebook</t>
  </si>
  <si>
    <t>Vivolead ApS</t>
  </si>
  <si>
    <t>DK38361783</t>
  </si>
  <si>
    <t>Saralyst Allé 53</t>
  </si>
  <si>
    <t>HØJBJERG</t>
  </si>
  <si>
    <t>www.vivolead.com</t>
  </si>
  <si>
    <t>CRM,Sales Automation,B2B,Software,Information Technology,Lead Management,SaaS,Sales</t>
  </si>
  <si>
    <t>https://app.vainu.io/vainu/prospect/393850502/</t>
  </si>
  <si>
    <t>Global Site Tag, PHP, Bootstrap, Font awesome, Force.com, TLS v1.2, Google analytics, Website, Mailchimp, SSL/TLS, Jquery, Albacross Analytics, Twitter, Revslider, UNPKG, Tab Icon, Wordpress, Google tag manager, Ionicons, Flash, Html5, TLS v1.0, Pinterest, Facebook Like Button Plugin, Google font api, Lightbox, animate.css, Cookiebot, Form Html Element, Vimeo, Mysql, Linkedin, _("Responsive"), Google Site Verification, WordPress 5, OWL Carousel, Apache, Recaptcha, Gmail, Jquery ui, Revslider 5.3, Gravity Forms, Youtube Embed, Javascript, Facebook, TLS v1.1</t>
  </si>
  <si>
    <t>WAKEUPDATA ApS</t>
  </si>
  <si>
    <t>DK36082216</t>
  </si>
  <si>
    <t>Fredensgade 26B, st. th.</t>
  </si>
  <si>
    <t>http://www.wakeupdata.com/</t>
  </si>
  <si>
    <t>Advertising,Personalization,B2B,B2C,Software,E-Commerce,Product Search,Real Time,Internet,Marketing Automation,Semantic Search,Marketing,SaaS,Big Data,Data Integration,Content Discovery,Analytics</t>
  </si>
  <si>
    <t>https://app.vainu.io/vainu/prospect/23497034/</t>
  </si>
  <si>
    <t>Global Site Tag, Facebook Domain Verification, PHP, Bootstrap, Instagram, Website, Google analytics, Microsoft IIS, Danish, Jquery, Microsoft IIS 10.0, Twitter, Microsoft asp.net, Elementor, Office 365, Google maps, Amazon CloudFront, Cloudflare, Microsoft ASP.NET 4.0, Tab Icon, Google tag manager, Html5, Hubspot Rss Feed, Slack, Pinterest, GoToWebinar, Google font api, Addthis, Hubspot CMS, FullStory, Snapchat, Hubspot Customer Feedback, Vidyard, Facebook Share Button Plugin, Youtube Embed, Amazon web services, Form Html Element, Vimeo, English, Linkedin Sign-in, Youtube, HubSpot CMS Hub, _("Responsive"), Google Site Verification, Blog, Hubspot Marketing Hub, Gmail, Hubspot, Hubspot Forms, Linkedin, Active Campaign, Javascript, Facebook, AMP</t>
  </si>
  <si>
    <t>WEBCRM A/S</t>
  </si>
  <si>
    <t>DK25189558</t>
  </si>
  <si>
    <t>Lyngbyvej 2</t>
  </si>
  <si>
    <t>https://webcrm.com/</t>
  </si>
  <si>
    <t>Small and Medium Businesses,CRM,Sales Automation,B2B,Software,Information Technology,Computer,Contact Management,Internet,Enterprise Software,Social CRM,Customer Service,SaaS,Marketing,Sales,Business Information Systems,Email Marketing,Management Information Systems</t>
  </si>
  <si>
    <t>https://app.vainu.io/vainu/prospect/22853225/</t>
  </si>
  <si>
    <t>PHP, Dropbox, Bootstrap, Linkedin Analytics / Advertisement Pixel, TLS v1.2, Google analytics, Website, Office365 email, SSL/TLS, Tawk.To Chat, Jquery, Twitter, Outlook, Hr Manager, Office 365, Leadfeeder, Microsoft exchange, Booking Widget (All), Cloudflare, Leadoo, Acuity Scheduling, Tab Icon, Google tag manager, Html5, TLS v1.0, Linkedin Data Partner, Linkedin Insight Tag, Google font api, Giosg, lodash, Facebook pixel, ActiveCampaign, Angularjs, Zendesk Chat, Livechat, Facebook Share Button Plugin, Youtube Embed, webCRM, jsDelivr, Form Html Element, Vimeo, Paths.js, Bootstrap 4.0, Youtube, _("Responsive"), Google Site Verification, Intercom, GSAP, Recaptcha, Ahrefs SEO tools, Linkedin, Active Campaign, Javascript, Facebook, TLS v1.1</t>
  </si>
  <si>
    <t>Sv, No, En, Da, Pt, De, Nl, Es, nn, Fi</t>
  </si>
  <si>
    <t>WEBPROOF A/S</t>
  </si>
  <si>
    <t>DK25452976</t>
  </si>
  <si>
    <t>Rådhuspladsen 16</t>
  </si>
  <si>
    <t>webproof.com</t>
  </si>
  <si>
    <t>Virtual Workforce,Consumer Software,Software,Project Management,Contact Management,Internet,Packaging Services,Enterprise Software,Developer Tools,SaaS,Collaboration,Productivity Tools,Management Information Systems</t>
  </si>
  <si>
    <t>https://app.vainu.io/vainu/prospect/1718204/</t>
  </si>
  <si>
    <t>PHP, Webflow, Gravatar, TLS v1.2, Google analytics, Website, Mailchimp, SSL/TLS, Jquery, Danish, Twitter, Flash video, Adobe Typekit, Embed.Ly, Google maps, Optimizely, Underscore.js, Cloudflare, Tab Icon, Wordpress, Varnish, jQuery Migrate, Flash, Apache 2.2, Postmark, Centos, Modernizr, German, French, Adobe Analytics, Google font api, GlobalSign, Nginx, Zendesk Chat, Facebook Share Button Plugin, Youtube Embed, Amazon web services, Form Html Element, Vimeo, English, Mysql, Flickr, Youtube, Google Plus, Segment, _("Responsive"), Google Site Verification, Intercom, Zendesk, Blog, Apache, Gmail, Spanish, Openresty, Linkedin, Clicktale, Javascript, Facebook, AMP</t>
  </si>
  <si>
    <t>En, Da, De, Fr, Es</t>
  </si>
  <si>
    <t>WELLCO APS</t>
  </si>
  <si>
    <t>DK39543354</t>
  </si>
  <si>
    <t>c/o Revision Brøndby ApS  Kornmarksvej 26</t>
  </si>
  <si>
    <t>wellco.dk</t>
  </si>
  <si>
    <t>Small and Medium Businesses,Software,Information Technology,Project Management,SaaS</t>
  </si>
  <si>
    <t>https://app.vainu.io/vainu/prospect/1043556560/</t>
  </si>
  <si>
    <t>PHP, Vkontakte, Varnish 6.5, TLS v1.2, Website, SSL/TLS, Jquery, Tumblr, Swiper Slider, Elementor, WP-Statistics 12.6, Tab Icon, Wordpress, Varnish, jQuery Migrate, Html5, Varnish 6.6, Google play, TLS v1.0, Google font api, WP-Statistics, Whatsapp Website Icon, Form Html Element, Vimeo, Mysql, Google Plus, Varnish 6.4, _("Responsive"), Google Site Verification, WordPress 5, Apache, WordPress 5.4, Javascript, Facebook, TLS v1.1</t>
  </si>
  <si>
    <t>WOBA ApS</t>
  </si>
  <si>
    <t>DK37609641</t>
  </si>
  <si>
    <t>Langebrogade 4</t>
  </si>
  <si>
    <t>www.woba.io</t>
  </si>
  <si>
    <t>Virtual Workforce,Employee Benefits,Software,Information Technology,Human Resources,Enterprise Software,Analytics,SaaS,Management Information Systems</t>
  </si>
  <si>
    <t>https://app.vainu.io/vainu/prospect/610946686/</t>
  </si>
  <si>
    <t>PHP, Font awesome, Yoast SEO 16.4, Gravatar, TLS v1.2, Website, Slick, SSL/TLS, Jquery, Elementor, Office 365, Select2, Cloudflare, Yoast SEO, Wordpress, Tab Icon, jQuery Migrate, Google tag manager, TLS v1.0, WordPress 5.7, GoToWebinar, Google font api, Hubspot CMS, Hubspot Email, animate.css, Cookiebot, Javascript, Form Html Element, Vimeo, Mysql, Linkedin, Hubspot Live Chat, _("Responsive"), Google Site Verification, WordPress 5, Hubspot Analytics, Gmail, Hubspot, Hubspot Forms, Youtube Embed, Hubspot Ads Pixel, Facebook, TLS v1.1</t>
  </si>
  <si>
    <t>Webshipper ApS</t>
  </si>
  <si>
    <t>DK35668934</t>
  </si>
  <si>
    <t>Søndergade 2B</t>
  </si>
  <si>
    <t>www.webshipper.com</t>
  </si>
  <si>
    <t>B2B,B2C,Software,Supply Chain Management,Product Search,Internet,E-Commerce Platforms,SaaS,Logistics,E-Commerce,Marketplace,Shipping</t>
  </si>
  <si>
    <t>https://app.vainu.io/vainu/prospect/23521602/</t>
  </si>
  <si>
    <t>Facebook Domain Verification, PHP, Vkontakte, Bootstrap, Font awesome, Website, Google analytics, Mailchimp, Danish, SSL/TLS, Amazon SES, Jquery, Twitter, Tumblr, Swiper Slider, WP Engine, Elementor, Zurb foundation, UNPKG, Tab Icon, Wordpress, jQuery Migrate, Google tag manager, Html5, TLS v1.0, German, Google font api, lodash, Nginx, Swedish, Calendly, Cookiebot, Norwegian, Amazon web services, Whatsapp Website Icon, Form Html Element, Vimeo, Mysql, English, Moment.js, Youtube, Google Plus, _("Responsive"), Google Site Verification, Google Cloud, Opencart, _("Online_Store"), Trustpilot, Gmail, Castle Accont Takeout Prevention, Ecwid, Hubspot Forms, Linkedin, Active Campaign, Javascript, Facebook, TLS v1.1</t>
  </si>
  <si>
    <t>Whaii ApS</t>
  </si>
  <si>
    <t>DK39871769</t>
  </si>
  <si>
    <t>Bygmarken 40</t>
  </si>
  <si>
    <t>whaii.com</t>
  </si>
  <si>
    <t>Artificial Intelligence,Software,Information Technology,Social Recruiting,Human Resources,SaaS,Recruiting,Analytics,Machine Learning</t>
  </si>
  <si>
    <t>https://app.vainu.io/vainu/prospect/1412389206/</t>
  </si>
  <si>
    <t>Global Site Tag, Facebook Domain Verification, PHP, Gravatar, TLS v1.2, Website, Slick, Office365 email, SSL/TLS, Jquery, Twitter, Outlook, Office 365, Microsoft exchange, Booking Widget (All), Yoast SEO, Wordpress, Tab Icon, Google tag manager, Nuxt.js, TLS v1.0, Pinterest, Node.js, Google font api, Nginx, Cookiebot, Livechat, Form Html Element, Vimeo, Yoast SEO 17.1, Flickr, Youtube, Mysql, Linkedin, _("Responsive"), Google Site Verification, MI, Youtube Embed, Vue.js, Javascript, Facebook, TLS v1.1</t>
  </si>
  <si>
    <t>En, Bg</t>
  </si>
  <si>
    <t>Whyser ApS</t>
  </si>
  <si>
    <t>DK39493446</t>
  </si>
  <si>
    <t>Vesterbrogade 37, 1. th.</t>
  </si>
  <si>
    <t>www.whyser.io</t>
  </si>
  <si>
    <t>Virtual Workforce,Small and Medium Businesses,B2B,Software,Information Technology,Contact Management,SaaS,Management Information Systems,Enterprise,Collaboration,Productivity Tools,Enterprise Software</t>
  </si>
  <si>
    <t>https://app.vainu.io/vainu/prospect/1012359148/</t>
  </si>
  <si>
    <t>Global Site Tag, Lytics, Ubuntu, MasterCard, Bootstrap, React, Instagram, Website, Google analytics, Jquery, Amazon SES, Visa, Nginx 1.14, Polyfill, Tab Icon, Google tag manager, American Express, Google font api, Pepyaka, lodash, Wix, Pepyaka 1.19, Nginx, Whatsapp Website Icon, Form Html Element, Google Plus, _("Responsive"), Google Site Verification, Linkedin, Javascript, Facebook</t>
  </si>
  <si>
    <t>Wired Relations ApS</t>
  </si>
  <si>
    <t>DK38970585</t>
  </si>
  <si>
    <t>Scandiagade 25</t>
  </si>
  <si>
    <t>https://wiredrelations.com</t>
  </si>
  <si>
    <t>Compliance,GDPR,Software,Data Protection,Privacy,Information Technology,Cyber Security,SaaS,Security,Data Security</t>
  </si>
  <si>
    <t>https://app.vainu.io/vainu/prospect/687006534/</t>
  </si>
  <si>
    <t>Global Site Tag, PHP, Dropbox, React, Intranet, Gravatar, TLS v1.2, Website, Mailchimp, SSL/TLS, Jquery, Outlook, Flash video, Adobe Typekit, Office 365, Wistia, Select2, Atlassian Domain Verification, Google maps, Microsoft exchange, Divi 4.9, Wordpress, Tab Icon, jQuery Migrate, Google tag manager, Html5, TLS v1.0, Linkedin Data Partner, Slack, Linkedin Insight Tag, Google font api, Hubspot CMS, Hubspot Email, Nginx, animate.css, Facebook pixel, Youtube Embed, fo, Form Html Element, Vimeo, Mysql, Flickr, Typekit, Google Site Verification, Divi, _("Responsive"), Intercom, Apache, Gmail, Aurelia, Contact Form 7 Wordpress Plugin, Hubspot, Linkedin, Active Campaign, Javascript, Facebook, TLS v1.1</t>
  </si>
  <si>
    <t>Is, En, Da</t>
  </si>
  <si>
    <t>WorkTango Inc.</t>
  </si>
  <si>
    <t>DK39977346</t>
  </si>
  <si>
    <t>c/o Bjarke Jungberg Grouleff  Ågårdvej 29</t>
  </si>
  <si>
    <t>HORNSLET</t>
  </si>
  <si>
    <t>www.worktango.com</t>
  </si>
  <si>
    <t>Virtual Workforce,Employee Benefits,Software,Employee Engagement,Information Technology,Human Resources,SaaS,Management Information Systems,Enterprise,Enterprise Software</t>
  </si>
  <si>
    <t>https://app.vainu.io/vainu/prospect/1509420272/</t>
  </si>
  <si>
    <t>PHP, Gravatar, TLS v1.2, Website, Office365 email, SSL/TLS, Jquery, Twitter, Outlook, Salesforce, Office 365, Wistia, Select2, Microsoft exchange, Amazon CloudFront, Yoast SEO, Wordpress, Varnish, Tab Icon, G2 Crowd Conversion Tracking, Html5, jQuery Migrate, Google tag manager, Chili Piper, Flickity, Pinterest, wpBakery, AmazonS, Google font api, animate.css, Youtube Embed, Amazon web services, Form Html Element, Vimeo, Mysql, Youtube, _("Responsive"), Google Site Verification, OneSignal, WordPress 5, Yoast SEO 17.0, Intercom, Glassdoor Job Search, Blog, _("Online_Store"), Apache, Jquery ui, Linkedin, Javascript, Facebook</t>
  </si>
  <si>
    <t>En, Fr</t>
  </si>
  <si>
    <t>Worklogger ApS</t>
  </si>
  <si>
    <t>DK35834303</t>
  </si>
  <si>
    <t>Jægersborg Alle 1D</t>
  </si>
  <si>
    <t>worklogger.io</t>
  </si>
  <si>
    <t>Scheduling,Information Technology,SaaS,Software</t>
  </si>
  <si>
    <t>https://app.vainu.io/vainu/prospect/23163382/</t>
  </si>
  <si>
    <t>Global Site Tag, PHP, Google adwords, Vkontakte, MasterCard, Font awesome, Force.com, TLS v1.2, Google analytics, Website, Office365 email, SSL/TLS, Jquery, Tumblr, Swiper Slider, Visa, Wp rocket, Outlook, Revslider, Elementor, Nginx 1.14, Leadfeeder, Microsoft exchange, Underscore.js, Dankort, Pipedrive Leadbooster, Tab Icon, Wordpress, jQuery Migrate, Google tag manager, Flash, Html5, Vtiger, Slack, Google font api, Nginx, Youtube Embed, Whatsapp Website Icon, Form Html Element, Vimeo, Mysql, Google Plus, _("Responsive"), Google Site Verification, Underscore.js 1.13, WordPress 5, Monsterinsights, Opencart, Pipedrive, _("Online_Store"), Trustpilot, Recaptcha, Contact Form 7 Wordpress Plugin, Sendgrid, Linkedin, Active Campaign, Javascript, Facebook</t>
  </si>
  <si>
    <t>XENA ApS</t>
  </si>
  <si>
    <t>DK34080631</t>
  </si>
  <si>
    <t>Lautrupvang 24</t>
  </si>
  <si>
    <t>xena.biz</t>
  </si>
  <si>
    <t>Small and Medium Businesses,Consumer Software,Software,Accounting,Information Technology,SaaS,Billing,Business Information Systems,Management Information Systems</t>
  </si>
  <si>
    <t>https://app.vainu.io/vainu/prospect/21754995/</t>
  </si>
  <si>
    <t>Global Site Tag, Bootstrap, MasterCard, React, Instagram, TLS v1.2, Website, Office365 email, SSL/TLS, Jquery, Mailchimp, Amplitude, Twitter, Google Firebase, Outlook, Office 365, Microsoft exchange, Cloudflare, Mobilepay, Tab Icon, Google tag manager, TLS v1.0, Google font api, Facebook pixel, Popper, Form Html Element, Vimeo, Youtube, Linkedin, _("Responsive"), Google Site Verification, Popper 1.14, Zendesk, Sendgrid, Youtube Embed, Javascript, Facebook, TLS v1.1</t>
  </si>
  <si>
    <t>No, En, Da, Nb, Pl</t>
  </si>
  <si>
    <t>Your.Rentals A/S</t>
  </si>
  <si>
    <t>DK38123947</t>
  </si>
  <si>
    <t>c/o SmartResponse  Vesterbrogade 149, 5.</t>
  </si>
  <si>
    <t>your.rentals</t>
  </si>
  <si>
    <t>Software,Vacation Rental,Property Management,Guides,Reservations,SaaS,Travel,Real Estate</t>
  </si>
  <si>
    <t>https://app.vainu.io/vainu/prospect/610557272/</t>
  </si>
  <si>
    <t>Nginx 1.12, Facebook Domain Verification, Global Site Tag, PHP, Teamtailor, Ziggeo, Font awesome, React, Instagram, TLS v1.2, Google analytics, Visual website optimizer, section.io, Mailchimp, Jquery, SSL/TLS, Website, Twitter, Swiper Slider, Fontfaceobserver, Yoast SEO 16.9, Stimulus, Adobe Typekit, Google maps, Booking Widget (All), Amazon CloudFront, Yoast SEO, Wordpress, Google tag manager, Ruby, Tab Icon, Html5, ConvertKit, Postmark, Varnish, Divi 4.9, Javascript, German, Google pagespeed, Stripe Online Payments, Heroku, Google font api, Facebook Like Button Plugin, Hubspot Email, Nginx, Angularjs, Facebook Share Button Plugin, Google PageSpeed 1.13, Amazon web services, Youtube Embed, Vimeo, Form Html Element, Stripe, English, Mysql, Flickr, _("Responsive"), Divi, Google Site Verification, Google Sign-in, WordPress 5, Extranet, Intercom, Italian, Blog, Rackcache, Apache, Spanish, Gmail, Castle Accont Takeout Prevention, Hubspot, Linkedin, French, Facebook, TLS v1.1</t>
  </si>
  <si>
    <t>En, It, De, Fr, Es</t>
  </si>
  <si>
    <t>ZENDESK ApS</t>
  </si>
  <si>
    <t>DK30801830</t>
  </si>
  <si>
    <t>Snaregade 12, 3.</t>
  </si>
  <si>
    <t>https://www.zendesk.com/</t>
  </si>
  <si>
    <t>Virtual Workforce,Office Administration,Software,Information Technology,Mobile,Service Industry,Consumer,Assistive Technology,SaaS,Collaboration,Enterprise Software</t>
  </si>
  <si>
    <t>https://app.vainu.io/vainu/prospect/21834423/</t>
  </si>
  <si>
    <t>PHP, Algolia, Bootstrap, Doubleclick, Linkedin Analytics / Advertisement Pixel, Intranet, TLS v1.2, Google analytics, Quantserve, Website, SSL/TLS, Jquery, Afterpay, Twitter, Liadm, Dutch, Oracle marketing cloud, Microsoft asp.net, Office 365, Google maps, Optimizely, Atlassian Domain Verification, Clearbit, Wistia, Mixpanel Analytics, Cloudflare, Crazy egg, Korean, Cxense, Yoast SEO 1.4, Yoast SEO, Wordpress, Google tag manager, Tab Icon, Flash, Html5, Taboola, Hotjar, Xhtml, Portuguese, German, Optanon Cookie Consent, Adobe Analytics, Zendesk Chat, New relic, Facebook Share Button Plugin, Japanese, Amazon web services, Adobe media optimizer, Form Html Element, jsDelivr, English, Javascript, Youtube, Google Plus, Moment.js, _("Responsive"), Google Site Verification, Zendesk, Adobe Audience Manager, Italian, Spanish, Jquery ui, Bugsnag, Clearbit Reveal, Chinese, jQuery UI 1.10, Linkedin, French, Facebook, Docusign</t>
  </si>
  <si>
    <t>En, Ko, Pt, Ja, Th, De, Fr, Es</t>
  </si>
  <si>
    <t>ZENEGY ApS</t>
  </si>
  <si>
    <t>DK37233994</t>
  </si>
  <si>
    <t>Slotsmarken 16</t>
  </si>
  <si>
    <t>https://zenegy.com/</t>
  </si>
  <si>
    <t>Virtual Workforce,Small and Medium Businesses,Software,Information Technology,Human Resources,Enterprise Software,SaaS,Management Information Systems</t>
  </si>
  <si>
    <t>https://app.vainu.io/vainu/prospect/6792188/</t>
  </si>
  <si>
    <t>Facebook Domain Verification, PHP, Azure Application Insights, Bootstrap, MasterCard, Linkedin Analytics / Advertisement Pixel, Instagram, Smartyads, TLS v1.2, Website, OpenResty 1.19, Slick, SSL/TLS, Jquery, React, Danish, Twitter, Visa, Windows-Azure-Web 1.0, Gatsby, SendinBlue, Microsoft asp.net, Office 365, Leadfeeder, Google maps, Apple App Store, UNPKG, Amazon CloudFront, Cloudflare, Gatsby 3.2, Webpack, Dankort, Microsoft-Httpapi 2.0, Microsoft HTTPAPI 2.0, Tab Icon, Google tag manager, Kestrel, Ionicons, Html5, Google play, TLS v1.0, Linkedin Data Partner, Linkedin Insight Tag, American Express, Mouseflow, Microsoft HTTPAPI, Google font api, Facebook pixel, Nginx, scrollreveal, Youtube Embed, Amazon web services, Form Html Element, Vimeo, jQuery UI 1.12, English, Youtube, _("Responsive"), Google Site Verification, Intercom, _("Online_Store"), OWL Carousel, Gmail, Trustpilot, Microsoft-HTTPAPI, Jquery ui, Windows-Azure-Web, Openresty, Appinsights, Linkedin, Javascript, Facebook, TLS v1.1</t>
  </si>
  <si>
    <t>Zenajour ApS</t>
  </si>
  <si>
    <t>DK40619755</t>
  </si>
  <si>
    <t>Tilstedvej 73</t>
  </si>
  <si>
    <t>THISTED</t>
  </si>
  <si>
    <t>zenajour.com</t>
  </si>
  <si>
    <t>Software,Marketing Automation,SaaS,Apps,Mobile Apps</t>
  </si>
  <si>
    <t>https://app.vainu.io/vainu/prospect/1672108235/</t>
  </si>
  <si>
    <t>PHP, Bootstrap, Font awesome, Intranet, Website, Office365 email, Jquery, Twitter, Outlook, Office 365, Microsoft exchange, Tab Icon, Pinterest, Google font api, Facebook Share Button Plugin, Form Html Element, Vimeo, _("Responsive"), OWL Carousel, Youtube Embed, Javascript, Facebook</t>
  </si>
  <si>
    <t>Zoios ApS</t>
  </si>
  <si>
    <t>DK42135232</t>
  </si>
  <si>
    <t>Store Kongensgade 21E, 1.</t>
  </si>
  <si>
    <t>zoios.dk</t>
  </si>
  <si>
    <t>Employee Benefits,Software,Human Resources,SaaS,Analytics</t>
  </si>
  <si>
    <t>https://app.vainu.io/vainu/prospect/2329351815/</t>
  </si>
  <si>
    <t>Facebook Domain Verification, PHP, Font awesome, Instagram, TLS v1.2, Website, SSL/TLS, Jquery, Danish, Twitter, Flash video, Leaflet, Tab Icon, Wordpress, jQuery Migrate, Google tag manager, Flash, TLS v1.0, GoToWebinar, Google font api, Hubspot CMS, Nginx, Javascript, Form Html Element, Vimeo, Mysql, Linkedin, Hubspot Live Chat, _("Responsive"), Google Site Verification, WordPress 5, Hubspot Analytics, Gmail, Hubspot, Hubspot Forms, Youtube Embed, Hubspot Ads Pixel, TLS v1.1</t>
  </si>
  <si>
    <t>dropbinder ApS</t>
  </si>
  <si>
    <t>DK36697164</t>
  </si>
  <si>
    <t>Dyssegårdsvej 18, 1.</t>
  </si>
  <si>
    <t>dropbinder.com</t>
  </si>
  <si>
    <t>Software,Internet,SaaS,E-Commerce,Marketplace</t>
  </si>
  <si>
    <t>https://app.vainu.io/vainu/prospect/20401403/</t>
  </si>
  <si>
    <t>PHP, Apache 2.4, Bootstrap, Font awesome, Website, TLS v1.2, Google analytics, Office365 email, SSL/TLS, Jquery, Danish, Outlook, Office 365, Microsoft exchange, Tab Icon, Html5, Google font api, animate.css, Form Html Element, English, _("Responsive"), TLS problem, OWL Carousel, Apache, Recaptcha, Jquery ui, Linkedin, Javascript, Debian</t>
  </si>
  <si>
    <t>eloomi A/S</t>
  </si>
  <si>
    <t>DK36699752</t>
  </si>
  <si>
    <t>Per Henrik Lings Allé 4, 4.</t>
  </si>
  <si>
    <t>https://eloomi.com/</t>
  </si>
  <si>
    <t>Virtual Workforce,Talent Management,Software,Training,Gamification,Information Technology,Education,Human Resources,Skill Assessment,E-Learning,SaaS,Knowledge Management,Corporate Training,Enterprise Software</t>
  </si>
  <si>
    <t>https://app.vainu.io/vainu/prospect/22375520/</t>
  </si>
  <si>
    <t>PHP, Vkontakte, Ziggeo, Teamtailor, Font awesome, Linkedin Analytics / Advertisement Pixel, Instagram, Doubleclick, TLS v1.2, Google analytics, Website, Office365 email, section.io, Jquery, SSL/TLS, Tumblr, Twitter, OneTrust, Liadm, Swiper Slider, Outlook, WordPress 5.8, Fontfaceobserver, Wp rocket, Stimulus, Elementor, Google maps, Microsoft exchange, Underscore.js, Bouncex, Yoast SEO, Wordpress, Outbrain, Varnish, Tab Icon, Html5, jQuery Migrate, Google tag manager, Taboola, TLS v1.0, Ruby, Google Optimize, Google Optimize 360, Optanon Cookie Consent, Thetradedesk / Adbrain, Heroku, Facebook Like Button Plugin, Google font api, Nginx, Yoast SEO 17.2, Facebook Share Button Plugin, Youtube Embed, Mailgun, Whatsapp Website Icon, Form Html Element, Vimeo, Mysql, Youtube, Google Plus, _("Responsive"), Underscore.js 1.13, WordPress 5, Intercom, Opencart, Hubspot Analytics, _("Online_Store"), Rackcache, Apache, Recaptcha, Hubspot, Linkedin, Javascript, Facebook, TLS v1.1</t>
  </si>
  <si>
    <t>kERP ApS</t>
  </si>
  <si>
    <t>DK39435551</t>
  </si>
  <si>
    <t>Albanivej 74</t>
  </si>
  <si>
    <t>ÅRSLEV</t>
  </si>
  <si>
    <t>https://kerp.dk</t>
  </si>
  <si>
    <t>Small and Medium Businesses,Software,Accounting,SaaS,Billing</t>
  </si>
  <si>
    <t>https://app.vainu.io/vainu/prospect/952725728/</t>
  </si>
  <si>
    <t>Global Site Tag, PHP, Apache 2.4, Bootstrap, TLS v1.2, Google analytics, Website, SSL/TLS, Jquery, Litespeed, Tab Icon, Google tag manager, TLS v1.0, Google font api, Lightbox, Form Html Element, _("Responsive"), Apache, Trustpilot, Youtube Embed, Javascript, Debian, TLS v1.1</t>
  </si>
  <si>
    <t>orderstep ApS</t>
  </si>
  <si>
    <t>DK39107457</t>
  </si>
  <si>
    <t>Lautruphøj 5</t>
  </si>
  <si>
    <t>orderstep.dk</t>
  </si>
  <si>
    <t>CRM,Software,Internet,SaaS,E-Commerce</t>
  </si>
  <si>
    <t>https://app.vainu.io/vainu/prospect/809211302/</t>
  </si>
  <si>
    <t>Global Site Tag, PHP, Apache 2.4, mod_fcgid, Bootstrap, Instagram, TLS v1.2, Google analytics, Django, Office365 email, SSL/TLS, Jquery, Website, Twitter, Wp rocket, Outlook, Python, Office 365, Microsoft exchange, Unix, Tab Icon, Wordpress, Google tag manager, Crisp Chat, Bootstrap 4.4, TLS v1.0, Slack, Pinterest, wpBakery, Google font api, lodash, Nginx, OpenSSL 1.1, Sleeknote, Facebook Share Button Plugin, Form Html Element, Vimeo, Mysql, Moment.js, _("Responsive"), TLS problem, Openssl, Apache, Castle Accont Takeout Prevention, Contact Form 7 Wordpress Plugin, Mod_Fcgid 2.3, Linkedin, Javascript, Facebook, TLS v1.1</t>
  </si>
  <si>
    <t>surfway</t>
  </si>
  <si>
    <t>DK35081488</t>
  </si>
  <si>
    <t>Gammel Køge Landevej 150, 1. tv.</t>
  </si>
  <si>
    <t>surfway.dk</t>
  </si>
  <si>
    <t>Software,Task Management,Information Technology,Project Management,SaaS</t>
  </si>
  <si>
    <t>https://app.vainu.io/vainu/prospect/21476638/</t>
  </si>
  <si>
    <t>Global Site Tag, Astra 2.6, PHP, Vkontakte, Bootstrap, Font awesome, Website, Google analytics, Slick, SSL/TLS, Jquery, Tumblr, Swiper Slider, Instafeed, Elementor, Tab Icon, Wordpress, Varnish, jQuery Migrate, Google tag manager, Html5, Varnish 6.6, Google play, TLS v1.0, WooCommerce 5.7, Google font api, Woocommerce, Varnish 7.0, Astra, Form Html Element, Whatsapp Website Icon, Bootstrap 4.7, Mysql, Vimeo, Linkedin, Youtube, Google Plus, _("Responsive"), Google Site Verification, _("Online_Store"), Apache, Recaptcha, Youtube Embed, Javascript, Facebook</t>
  </si>
  <si>
    <t>trendlog.io ApS</t>
  </si>
  <si>
    <t>DK10111722</t>
  </si>
  <si>
    <t>Kochsgade 31D, 3.</t>
  </si>
  <si>
    <t>trendlog.dk</t>
  </si>
  <si>
    <t>Artificial Intelligence,Predictive Analytics,Software,Information Technology,Real Time,SaaS,Big Data,Data Integration,Intelligent Systems,Analytics,Machine Learning</t>
  </si>
  <si>
    <t>https://app.vainu.io/vainu/prospect/1715626/</t>
  </si>
  <si>
    <t>Global Site Tag, PHP, Bootstrap, Font awesome, Linkedin Analytics / Advertisement Pixel, TLS v1.2, Google analytics, Website, SSL/TLS, Tawk.To Chat, Jquery, Danish, Twitter, W3 total cache, Yoast SEO, Wordpress, Varnish, Tab Icon, Google tag manager, Varnish 6.6, TLS v1.0, Linkedin Data Partner, Linkedin Insight Tag, Google font api, Yoast SEO 15.4, Facebook pixel, Cookiebot, Form Html Element, English, Mysql, Youtube, Linkedin, Bootstrap 4.6, _("Responsive"), Google Site Verification, WordPress 5, Apache, Youtube Embed, Javascript, Facebook, TLS v1.1</t>
  </si>
  <si>
    <t>uQualio ApS</t>
  </si>
  <si>
    <t>DK39072858</t>
  </si>
  <si>
    <t>Egedalsvej 9</t>
  </si>
  <si>
    <t>VEKSØ SJÆLLAND</t>
  </si>
  <si>
    <t>www.uqualio.com</t>
  </si>
  <si>
    <t>EdTech,Training,Software,Gamification,Video,Education,Skill Assessment,SaaS,E-Learning,Corporate Training</t>
  </si>
  <si>
    <t>https://app.vainu.io/vainu/prospect/809213196/</t>
  </si>
  <si>
    <t>Global Site Tag, Google adwords, Bootstrap, React, Instagram, TLS v1.2, Google analytics, Website, Office365 email, SSL/TLS, Twitter, Outlook, Office 365, Microsoft exchange, Polyfill, Oribi Analytics, Tab Icon, Google tag manager, TLS v1.0, Slack, Pepyaka, lodash, Wix, Hubspot Email, Pepyaka 1.19, Amazon web services, Whatsapp Website Icon, Form Html Element, Youtube, _("Responsive"), Google Site Verification, _("Online_Store"), Hubspot, Sendgrid, Linkedin, Javascript, Facebook, TLS v1.1</t>
  </si>
  <si>
    <t>worqhub ApS</t>
  </si>
  <si>
    <t>DK41857137</t>
  </si>
  <si>
    <t>Haslegårdsvej 61</t>
  </si>
  <si>
    <t>AARHUS V</t>
  </si>
  <si>
    <t>www.worqhub.io</t>
  </si>
  <si>
    <t>Software,Information Technology,Human Resources,SaaS,Analytics</t>
  </si>
  <si>
    <t>https://app.vainu.io/vainu/prospect/2258488377/</t>
  </si>
  <si>
    <t>Global Site Tag, PHP, Bootstrap, MasterCard, Linkedin Analytics / Advertisement Pixel, TLS v1.2, Google analytics, Website, Microsoft IIS, SSL/TLS, Jquery, Microsoft IIS 10.0, Twitter, Microsoft asp.net, Dankort, Tab Icon, Wordpress, Google tag manager, Html5, MailJet, Linkedin Data Partner, Linkedin Insight Tag, Google font api, Addthis, Zendesk Chat, Form Html Element, Vimeo, Flickr, _("Responsive"), Recaptcha, Youtube Embed, Javascript, Facebook</t>
  </si>
  <si>
    <t>84codes AB</t>
  </si>
  <si>
    <t>Ottsjö Rävstigen 16</t>
  </si>
  <si>
    <t>UNDERSÅKER</t>
  </si>
  <si>
    <t>STOCKHOLM</t>
  </si>
  <si>
    <t>84codes.com</t>
  </si>
  <si>
    <t>Open Source,Developer Platform,Operating Systems,Software,Linux,Cloud Management,Information Technology,Software Engineering,Web Hosting,Application Performance Management,Cloud Computing,PaaS,Data Center Automation,Developer Tools,Cloud Infrastructure,Amazon Web Services (AWS)</t>
  </si>
  <si>
    <t>https://app.vainu.io/vainu/prospect/1558896/</t>
  </si>
  <si>
    <t>PHP, GitHub Pages, Bootstrap, Font awesome, Linkedin Analytics / Advertisement Pixel, Help Scout, Website, Google analytics, SSL/TLS, Jquery, Amazon SES, Ruby on rails, Office 365, Jekyll, Github.com, Jekyll v3.9, Varnish, Ruby, TLS v1.0, Slack, Fastly, Facebook Share Button Plugin, Amazon web services, Form Html Element, Vimeo, Bootstrap 4.5, Youtube, _("Responsive"), Google Site Verification, Gmail, Youtube Embed, Javascript, Facebook, TLS v1.1</t>
  </si>
  <si>
    <t>Acconomy AB</t>
  </si>
  <si>
    <t>GULLBERGS STRANDGATA, 36</t>
  </si>
  <si>
    <t>GÖTEBORG</t>
  </si>
  <si>
    <t>CRM,Software,Accounting,Information Technology,SaaS,Billing</t>
  </si>
  <si>
    <t>https://app.vainu.io/vainu/prospect/1271781/</t>
  </si>
  <si>
    <t>PHP, MasterCard, Font awesome, Instagram, Website, Google analytics, Microsoft IIS, Office365 email, Jquery, Microsoft IIS 10.0, Dutch, Outlook, Microsoft asp.net, Office 365, Google maps, Microsoft exchange, Apple App Store, jQuery UI 1.8, Microsoft ASP.NET 4.0, Tab Icon, Google play, Slack, German, Swedish, Norwegian, Form Html Element, English, _("Responsive"), Google Site Verification, Blog, _("Online_Store"), Jquery ui, Linkedin, Javascript, Facebook</t>
  </si>
  <si>
    <t>Sv, En</t>
  </si>
  <si>
    <t>Addoro AB</t>
  </si>
  <si>
    <t>Magnusvägen 41A</t>
  </si>
  <si>
    <t>SÄVEDALEN</t>
  </si>
  <si>
    <t>addoro.com</t>
  </si>
  <si>
    <t>Software,Information Technology,Contact Management,Document Management,SaaS,Enterprise,Business Information Systems</t>
  </si>
  <si>
    <t>https://app.vainu.io/vainu/prospect/1355049/</t>
  </si>
  <si>
    <t>PHP, Apache 2.4, Ubuntu, Gravatar, TLS v1.2, Google analytics, Site Kit 1.38, Website, SSL/TLS, Jquery, Amazon SES, Prototype, Google maps, Atlassian Domain Verification, Osano, Yoast SEO, Wordpress, Tab Icon, jQuery Migrate, Flash, Html5, Google tag manager, Modernizr, Xhtml, Hotjar, Nginx, Site Kit, Form Html Element, Vimeo, English, Mysql, _("Responsive"), Google Site Verification, WordPress 5, MaxMind, Yoast SEO 17.0, Script.aculo.us, Blog, Cookie Consent By Insites, Apache, Gmail, Contact Form 7 Wordpress Plugin, Javascript</t>
  </si>
  <si>
    <t>Adfenix AB</t>
  </si>
  <si>
    <t>Storgatan 53 6TR</t>
  </si>
  <si>
    <t>https://adfenix.com/</t>
  </si>
  <si>
    <t>Advertising,Artificial Intelligence,B2B,B2C,Software,Lead Generation,Digital Marketing,Information Technology,Product Search,Marketing Automation,Marketing,SaaS,Social Media,Social Media Marketing,Analytics,Real Estate,Machine Learning</t>
  </si>
  <si>
    <t>https://app.vainu.io/vainu/prospect/1551603/</t>
  </si>
  <si>
    <t>Webflow, Vkontakte, Instagram, TLS v1.2, Website, Mailchimp, SSL/TLS, Jquery, Amazon SES, Twitter, Pardot, Salesforce, Adobe Typekit, Embed.Ly, Wistia, Atlassian Domain Verification, Booking Widget (All), Amazon CloudFront, Osano, Tab Icon, Google tag manager, Varnish, Slack, Stripe Online Payments, AmazonS, Google font api, Nginx, Salesforce marketing cloud, Mailgun, Amazon web services, jsDelivr, Form Html Element, Stripe, _("Responsive"), Google Site Verification, Cookie Consent By Insites, Gmail, Unbounce, Openresty, Linkedin, Active Campaign, Javascript, Facebook</t>
  </si>
  <si>
    <t>Agilon Analytics AB</t>
  </si>
  <si>
    <t>Annedalsvägen 22</t>
  </si>
  <si>
    <t>BROMMA</t>
  </si>
  <si>
    <t>agilon.io</t>
  </si>
  <si>
    <t>Artificial Intelligence,Business Intelligence,Software,Information Technology,Enterprise Software,Management Information Systems,SaaS,Analytics,Machine Learning</t>
  </si>
  <si>
    <t>https://app.vainu.io/vainu/prospect/1596374872/</t>
  </si>
  <si>
    <t>PHP, Vkontakte, Underscore.js 1.8, Bootstrap, Font awesome, Gravatar, Website, Google analytics, Yoast SEO 16.0, Office365 email, Jquery, Tumblr, Twitter, Swiper Slider, Outlook, WordPress 5.8, Wordpress super cache, Elementor, Office 365, Microsoft exchange, Underscore.js, Yoast SEO, Wordpress, jQuery Migrate, Google tag manager, Html5, Pinterest, Google font api, Facebook pixel, Swedish, Facebook Share Button Plugin, Whatsapp Website Icon, Form Html Element, Vimeo, Mysql, English, Youtube, Google Plus, _("Responsive"), Google Site Verification, WordPress 5, OWL Carousel, Apache, Youtube Embed, Javascript, Facebook</t>
  </si>
  <si>
    <t>Albacross Nordic AB</t>
  </si>
  <si>
    <t>Tegelbacken 4a</t>
  </si>
  <si>
    <t>albacross.com</t>
  </si>
  <si>
    <t>CRM,Advertising,B2B,B2C,Software,Lead Generation,Digital Marketing,Information Technology,Lead Management,Business Development,Marketing Automation,Marketing,SaaS,Consulting,Email Marketing,Analytics</t>
  </si>
  <si>
    <t>https://app.vainu.io/vainu/prospect/1410565/</t>
  </si>
  <si>
    <t>PHP, Hugo 0.44, Teamtailor, Linkedin Analytics / Advertisement Pixel, TLS v1.2, Google analytics, Website, section.io, SSL/TLS, Jquery, Amazon SES, Twitter, Stimulus, Wistia, Google maps, Underscore.js, Spot.Im / Disgus, Booking Widget (All), UNPKG, Amazon CloudFront, Tab Icon, Google tag manager, Varnish, Chili Piper, Ruby, Html5, TLS v1.0, Hugo, Stripe Online Payments, AmazonS, Heroku, Google font api, Calendly, Youtube Embed, Amazon web services, ZOOM, Form Html Element, Stripe, Vimeo, Youtube, Google Plus, Segment, _("Responsive"), Disqus, Google Site Verification, Intercom, Rackcache, Gmail, Uikit, Linkedin, Active Campaign, Javascript, Facebook, TLS v1.1</t>
  </si>
  <si>
    <t>AlexisHR AB</t>
  </si>
  <si>
    <t>Magnus Ladulåsgatan 3</t>
  </si>
  <si>
    <t>alexishr.com</t>
  </si>
  <si>
    <t>Virtual Workforce,Software,Information Technology,Human Resources,SaaS,Management Information Systems</t>
  </si>
  <si>
    <t>https://app.vainu.io/vainu/prospect/1831060186/</t>
  </si>
  <si>
    <t>Global Site Tag, Facebook Domain Verification, PHP, Webflow, Teamtailor, Ziggeo, MasterCard, Font awesome, React, TLS v1.2, Google analytics, OpenResty 1.19, section.io, SSL/TLS, Jquery, Website, Mailchimp, Twitter, Fontfaceobserver, CookieFirst, Stimulus, Adobe Typekit, Office 365, Google maps, Atlassian Domain Verification, Amazon CloudFront, Cloudflare, Tab Icon, Google tag manager, Varnish, Ruby, Typeform, Html5, Slack, American Express, Weglot, Sustainability Report, Fastly, Facebook Like Button Plugin, Jimdo, Google font api, Heroku, Nginx, Calendly, Shopify, Facebook Share Button Plugin, Youtube Embed, Amazon web services, Form Html Element, Vimeo, Youtube, _("Responsive"), Google Site Verification, Atlassian Statuspage, Intercom, _("Online_Store"), Rackcache, Castle Accont Takeout Prevention, Gmail, Recaptcha, Hubspot, Sendgrid, Openresty, Linkedin, Javascript, Facebook</t>
  </si>
  <si>
    <t>Alva Labs AB</t>
  </si>
  <si>
    <t>Kivra: 559103-8178</t>
  </si>
  <si>
    <t>alvalabs.io</t>
  </si>
  <si>
    <t>Artificial Intelligence,Software,Information Technology,Human Resources,Skill Assessment,SaaS,Recruiting,Analytics,Machine Learning</t>
  </si>
  <si>
    <t>https://app.vainu.io/vainu/prospect/453921277/</t>
  </si>
  <si>
    <t>PHP, Teamtailor, Bootstrap, Nginx 1.21, Font awesome, React, TLS v1.2, Google analytics, Website, section.io, SSL/TLS, Twitter, Stimulus, Embed.Ly, Wistia, Amazon CloudFront, Cloudflare, Satismeter, Tab Icon, Wordpress, Varnish, Google tag manager, Ruby, Html5, Typeform, Postmark, TLS v1.0, Hotjar, Slack, Google Optimize, AMP, Heroku, Nginx 1.19, Google font api, Hubspot CMS, Facebook pixel, Nginx, animate.css, Detectify, Youtube Embed, Amazon web services, Form Html Element, Bootstrap 4.7, Linkedin Sign-in, Youtube, HubSpot CMS Hub, Segment, Google Site Verification, _("Responsive"), Intercom, Google Cloud, Greenhouse, Blog, Rackcache, Hubspot Marketing Hub, Gmail, Hubspot, Hubspot Forms, Contentful, Bulma, Linkedin, Javascript, Facebook, TLS v1.1</t>
  </si>
  <si>
    <t>Apix Messaging AB</t>
  </si>
  <si>
    <t>Bror Nilssons gata 5</t>
  </si>
  <si>
    <t>apixmessaging.se</t>
  </si>
  <si>
    <t>Information Technology,SaaS,Software,Billing</t>
  </si>
  <si>
    <t>https://app.vainu.io/vainu/prospect/112369641/</t>
  </si>
  <si>
    <t>PHP, Bootstrap, Linkedin Analytics / Advertisement Pixel, Force.com, Gravatar, TLS v1.2, Google analytics, Website, SSL/TLS, Jquery, Twitter, WordPress 5.8, Flash video, Leadfeeder, Zurb foundation, Twitter Ads, Yoast SEO, Wordpress, Tab Icon, Hestia, Flash, jQuery Migrate, Google tag manager, TLS v1.0, Hotjar, Linkedin Data Partner, Slack, Linkedin Insight Tag, Google font api, Facebook pixel, Nginx, Hestia 1, Amazon web services, Form Html Element, Vimeo, Yoast SEO 17.1, Mysql, Youtube, Linkedin, Hestia 1.0, _("Responsive"), WordPress 5, _("Online_Store"), Contact Form 7 Wordpress Plugin, Oscar ekauppa, Youtube Embed, Javascript, Facebook</t>
  </si>
  <si>
    <t>Apsis International AB</t>
  </si>
  <si>
    <t>Stormgatan 11</t>
  </si>
  <si>
    <t>MALMÖ</t>
  </si>
  <si>
    <t>apsis.se</t>
  </si>
  <si>
    <t>Small and Medium Businesses,B2B,Professional Services,B2C,Training,Software,Lead Management,Product Search,Marketing Automation,Marketing,SaaS,E-Commerce,Email Marketing</t>
  </si>
  <si>
    <t>https://app.vainu.io/vainu/prospect/1410877/</t>
  </si>
  <si>
    <t>PHP, Linkedin Analytics / Advertisement Pixel, TLS v1.2, Website, SSL/TLS, Jquery, Twitter, Visa, Apsis Marketing, Office 365, Zurb foundation, Drupal, UNPKG, Tab Icon, jQuery Migrate, Google tag manager, Html5, APSIS Lead, Linkedin Data Partner, Linkedin Insight Tag, Freshdesk, Facebook pixel, Jivosite Chat, Cookiebot, Amazon web services, jsDelivr, Form Html Element, Vimeo, jQuery UI 1.12, Youtube, Linkedin, _("Responsive"), Google Site Verification, Apache, Gmail, Drupal 9, Jquery ui, Youtube Embed, Javascript, Facebook</t>
  </si>
  <si>
    <t>Atomize AB</t>
  </si>
  <si>
    <t>Kaserntorget 6</t>
  </si>
  <si>
    <t>atomize.com</t>
  </si>
  <si>
    <t>Hotel,Software,Information Technology,SaaS,Hospitality,Management Information Systems</t>
  </si>
  <si>
    <t>https://app.vainu.io/vainu/prospect/117028475/</t>
  </si>
  <si>
    <t>Facebook Domain Verification, PHP, Vkontakte, Bootstrap, Font awesome, Gravatar, TLS v1.2, Website, Mailchimp, SSL/TLS, Jquery, Amazon SES, Tumblr, Twitter, Swiper Slider, Elementor, Google maps, Viber Public Chat, Clipboard.js, Cloudflare, Yoast SEO, Wordpress, Tab Icon, jQuery Migrate, Google tag manager, Html5, Viber Share Button, Hubspot Meetings Plugin, TLS v1.0, Prism, Slack, Flickity, Pinterest, GoToWebinar, Google font api, Hubspot CMS, Wix, Yoast SEO 17.2, Facebook Share Button Plugin, Javascript, Whatsapp Website Icon, Form Html Element, Vimeo, Mysql, Liveinternet, Google Plus, Hubspot Live Chat, _("Responsive"), Google Site Verification, WordPress 5, Hubspot Analytics, Gmail, Contact Form 7 Wordpress Plugin, Elementor 3.4, NitroPack, Hubspot, Hubspot Sales, Hubspot Forms, Linkedin, Hubspot Ads Pixel, Facebook, TLS v1.1</t>
  </si>
  <si>
    <t>Avassa Systems AB</t>
  </si>
  <si>
    <t>Skansvägen 39</t>
  </si>
  <si>
    <t>SOLLENTUNA</t>
  </si>
  <si>
    <t>avassa.io</t>
  </si>
  <si>
    <t>Developer Platform,Operating Systems,Software,Cloud Management,Cloud Computing,Information Technology,Application Performance Management,Infrastructure,PaaS,Data Center Automation,Private Cloud,Cloud Data Services,Enterprise,Cloud Infrastructure,Enterprise Software</t>
  </si>
  <si>
    <t>https://app.vainu.io/vainu/prospect/1785792850/</t>
  </si>
  <si>
    <t>PHP, Teamtailor, Ziggeo, React, Gravatar, TLS v1.2, Google analytics, Website, Office365 email, section.io, SSL/TLS, Jquery, Twitter, Outlook, Fontfaceobserver, Stimulus, Office 365, Google maps, Microsoft exchange, Webpack, Tab Icon, Wordpress, Varnish, Google tag manager, Ruby, Html5, TLS v1.0, Docusaurus 2.0, Socialintents Chat, AMP, Heroku, Facebook Like Button Plugin, Google font api, Nginx, Facebook Share Button Plugin, Site Kit, Form Html Element, Vimeo, Mysql, Youtube, Linkedin, _("Responsive"), Google Site Verification, Site Kit 1.41, Rackcache, Docusaurus, Oxygen, Youtube Embed, Javascript, Facebook, TLS v1.1</t>
  </si>
  <si>
    <t>BILLOGRAM AB</t>
  </si>
  <si>
    <t>Klara Södra Kyrkogata 1</t>
  </si>
  <si>
    <t>billogram.com</t>
  </si>
  <si>
    <t>API,Payments,Software,FinTech,Information Technology,SaaS,Financial Services,Billing,Management Information Systems</t>
  </si>
  <si>
    <t>https://app.vainu.io/vainu/prospect/1217309/</t>
  </si>
  <si>
    <t>PHP, Teamtailor, Instagram, Ghost, TLS v1.2, Google analytics, Website, section.io, SSL/TLS, Jquery, Amazon SES, Mailchimp, Twitter, Ghost 2.13, Apple App Store, Tab Icon, Wordpress, Varnish, Google tag manager, Ruby, Html5, Google play, Hotjar, American Express, Sustainability Report, Facebook Page Plugin, Node.js, Google font api, Heroku, Facebook pixel, Express, Facebook Share Button Plugin, Amazon web services, Form Html Element, Vimeo, English, Moment.js, Linkedin, Youtube, Google Plus, _("Responsive"), GrooveHQ, Zendesk, GSAP, Rackcache, Gmail, Recaptcha, billogram.com, Youtube Embed, Active Campaign, Javascript, Facebook, AMP</t>
  </si>
  <si>
    <t>Bambuser AB</t>
  </si>
  <si>
    <t>Regeringsgatan 29</t>
  </si>
  <si>
    <t>bambuser.com</t>
  </si>
  <si>
    <t>Software,E-Commerce,Video Streaming,Consumer Applications,API,Personalization,B2B,Real Time,Mobile,SaaS,Content Delivery Network,Subscription Service,Consumer Software,B2C,Commercial,Video,Product Search,Internet,Content Discovery,Visual Search</t>
  </si>
  <si>
    <t>https://app.vainu.io/vainu/prospect/1218949/</t>
  </si>
  <si>
    <t>PHP, Webflow, Teamtailor, Ziggeo, React, Instagram, Intranet, TLS v1.2, Google analytics, Slick, Website, SSL/TLS, Jquery, Amazon SES, Afterpay, Twitter, Google Firebase, Flash video, Fontfaceobserver, Stimulus, Adobe Typekit, Embed.Ly, Cowboy, Google maps, Apple App Store, Amazon CloudFront, Webpack, Tab Icon, Wordpress, Varnish, Google tag manager, Ruby, Html5, Google play, TLS v1.0, Docusaurus 2.0, Modernizr, Bambuser, Hotjar, Google Optimize, iubenda, Facebook Page Plugin, AmazonS, VuePress 1.8, Facebook Like Button Plugin, Google font api, Hubspot Email, Nginx, New relic, VuePress, Facebook Share Button Plugin, Youtube Embed, Amazon web services, jsDelivr, Form Html Element, Vimeo, Youtube, _("Responsive"), Google Site Verification, Rackcache, Gmail, Docusaurus, Hubspot Forms, Openresty, Linkedin, Vue.js, Javascript, Facebook, TLS v1.1</t>
  </si>
  <si>
    <t>Bannerflow AB</t>
  </si>
  <si>
    <t>Sankt Eriksgatan 46</t>
  </si>
  <si>
    <t>bannerflow.com</t>
  </si>
  <si>
    <t>Advertising,Affiliate Marketing,Mobile Advertising,B2C,Software,Digital Marketing,Advertising Platforms,DSP,Ad Targeting,Content Discovery,Marketing,SaaS,Local Advertising</t>
  </si>
  <si>
    <t>https://app.vainu.io/vainu/prospect/1221660/</t>
  </si>
  <si>
    <t>Global Site Tag, Facebook Domain Verification, PHP, Teamtailor, Ziggeo, Bootstrap, Instagram, Smartyads, Gravatar, Google analytics, Website, section.io, SSL/TLS, Jquery, Visual website optimizer, Mailchimp, Twitter, Salesforce, Stimulus, Digid, Zurb foundation, Cloudflare, Netdna-Cache 2.2, Tab Icon, Wordpress, Varnish, jQuery Migrate, Google tag manager, Html5, Ruby, Postmark, TLS v1.0, Optanon Cookie Consent, Heroku, GoToWebinar, Facebook Like Button Plugin, Google font api, Addthis, Discover, Hubspot CMS, Hubspot Email, Nginx, New relic, Facebook Share Button Plugin, Youtube Embed, Form Html Element, Vimeo, Mysql, Youtube, HubSpot CMS Hub, _("Responsive"), Google Site Verification, NetDNA-cache, Intercom, MaxCDN, Blog, Rackcache, Gmail, Hubspot, Hubspot Forms, Linkedin, Javascript, Facebook, TLS v1.1</t>
  </si>
  <si>
    <t>Sv, En, De, Fr, Es</t>
  </si>
  <si>
    <t>Basetool AB</t>
  </si>
  <si>
    <t>Lindholmspiren 7</t>
  </si>
  <si>
    <t>basetool.se</t>
  </si>
  <si>
    <t>Tourism,SaaS,Travel,Software</t>
  </si>
  <si>
    <t>https://app.vainu.io/vainu/prospect/1324885/</t>
  </si>
  <si>
    <t>Bazaro Sverige AB</t>
  </si>
  <si>
    <t>Mölndalsvägen 69D lgh 1103</t>
  </si>
  <si>
    <t>bazaro.io</t>
  </si>
  <si>
    <t>https://app.vainu.io/vainu/prospect/625322207/</t>
  </si>
  <si>
    <t>Global Site Tag, PHP, Vkontakte, Site Kit 1.40, Bootstrap, Font awesome, Gravatar, TLS v1.2, Google analytics, Website, SSL/TLS, Jquery, Tumblr, Twitter, Litespeed, Swiper Slider, Elementor, Elementor 5.8, Litespeed Cache, Yoast SEO, Wordpress, Tab Icon, jQuery Migrate, Google tag manager, Html5, TLS v1.0, Google font api, Facebook Share Button Plugin, Site Kit, Form Html Element, Whatsapp Website Icon, Vimeo, Yoast SEO 17.1, Mysql, Google Plus, _("Responsive"), WordPress 5, particles.js, Site Kit 1.41, OWL Carousel, Gmail, Contact Form 7 Wordpress Plugin, Recaptcha, Choices, Youtube Embed, Javascript, Facebook, TLS v1.1</t>
  </si>
  <si>
    <t>Beatly AB</t>
  </si>
  <si>
    <t>Fastlagsvägen 49</t>
  </si>
  <si>
    <t>HÄGERSTEN</t>
  </si>
  <si>
    <t>beatly.com</t>
  </si>
  <si>
    <t>Advertising,Digital Media,B2C,Software,Digital Marketing,Content Creators,Social Media Advertising,Content Discovery,Social,Social CRM,Social Media,SaaS,Twitter,Marketing,Social Media Marketing</t>
  </si>
  <si>
    <t>https://app.vainu.io/vainu/prospect/1263024/</t>
  </si>
  <si>
    <t>Facebook Domain Verification, PHP, Teamtailor, Ziggeo, MasterCard, Font awesome, React, Instagram, TLS v1.2, Google analytics, Website, section.io, SSL/TLS, Jquery, Albacross Analytics, Twitter, Visa, Fontfaceobserver, Stimulus, Adobe Typekit, Google maps, Apple Pay, Cloudflare, Webpack, Sentry 6.7, Prismic.Io, Tab Icon, Google tag manager, Varnish, Ruby, Html5, Hubspot Meetings Plugin, TLS v1.0, Next.js, American Express, AMP, Stripe Online Payments, Heroku, Node.js, Facebook Like Button Plugin, Google font api, Hubspot CMS, Hubspot Customer Feedback, Sentry, Vercel, Facebook Share Button Plugin, Youtube Embed, Form Html Element, Stripe, Vimeo, Linkedin Sign-in, HubSpot CMS Hub, Segment, Google Site Verification, _("Responsive"), Blog, Hubspot Analytics, Rackcache, Hubspot Marketing Hub, Gmail, Hubspot, Sendgrid, Hubspot Sales, Hubspot Forms, Linkedin, Javascript, Facebook, TLS v1.1</t>
  </si>
  <si>
    <t>Blue Safespring AB</t>
  </si>
  <si>
    <t>Smidesvägen 12</t>
  </si>
  <si>
    <t>SOLNA</t>
  </si>
  <si>
    <t>https://www.safespring.com/</t>
  </si>
  <si>
    <t>Operating Systems,Software,Linux,Application Performance Management,Cloud Computing,Information Technology,Flash Storage,Computer,Virtualization,Data Storage,Data Center Automation,Private Cloud,Cloud Data Services,Enterprise,Cloud Storage,Cloud Infrastructure,IaaS</t>
  </si>
  <si>
    <t>https://app.vainu.io/vainu/prospect/112021505/</t>
  </si>
  <si>
    <t>Caddy, Facebook Domain Verification, Apache 2.4, PHP, Ubuntu, Font awesome, React, TLS v1.2, Google analytics, Django, Website, SSL/TLS, Jquery, Twitter, Mod_wsgi, Python, Google maps, Osano, Tab Icon, Google tag manager, Html5, Centos, Modernizr, Sustainability Report, Upsales Crm, Fastly, Google font api, OpenSSL 1.0, Calendly, Python 2.7, Form Html Element, Linkedin, Youtube, _("Responsive"), MaxMind, Atlassian Statuspage, Openssl, MkDocs 1.0, mod_wsgi 3.4, Cookie Consent By Insites, _("Online_Store"), Apache, Recaptcha, MkDocs, Youtube Embed, Javascript, Facebook, Go</t>
  </si>
  <si>
    <t>Sv, No, En</t>
  </si>
  <si>
    <t>BoardClic AB</t>
  </si>
  <si>
    <t>HÖGBERGSGATAN, 26 B 1tr</t>
  </si>
  <si>
    <t>boardclic.com</t>
  </si>
  <si>
    <t>Virtual Workforce,Software,Information Technology,Enterprise Software,SaaS,Management Information Systems,Enterprise,Analytics</t>
  </si>
  <si>
    <t>https://app.vainu.io/vainu/prospect/1088775334/</t>
  </si>
  <si>
    <t>Global Site Tag, PHP, Teamtailor, Ziggeo, Force.com, Gravatar, TLS v1.2, Google analytics, Website, section.io, SSL/TLS, Jquery, Twitter, Fontfaceobserver, Cowboy, Google maps, Mixpanel Analytics, Yoast SEO, Wordpress, Varnish, Tab Icon, Autopilot, Html5, Google tag manager, Ruby, TLS v1.0, Hotjar, Slack, Pinterest, Sustainability Report, Heroku, GoToWebinar, Facebook Like Button Plugin, Google font api, Hubspot CMS, Nginx, New relic, Facebook Share Button Plugin, Youtube Embed, Site Kit, Form Html Element, Vimeo, Yoast SEO 17.1, Mysql, Youtube, _("Responsive"), Google Site Verification, WordPress 5, Blog, Site Kit 1.41, Rackcache, Gmail, Recaptcha, Hubspot, Sendgrid, Hubspot Forms, Linkedin, Javascript, Facebook, TLS v1.1</t>
  </si>
  <si>
    <t>Boardeaser AB</t>
  </si>
  <si>
    <t>Götgatan 55, 6tr</t>
  </si>
  <si>
    <t>boardeaser.com</t>
  </si>
  <si>
    <t>https://app.vainu.io/vainu/prospect/1343853/</t>
  </si>
  <si>
    <t>Global Site Tag, PHP, Apache 2.4, Ubuntu, Gravatar, TLS v1.2, Google analytics, Website, SSL/TLS, Jquery, Instafeed, Adobe Typekit, Elementor, Cowboy, Office 365, Google maps, Yoast SEO 14.4, Sqreen, Yoast SEO, Wordpress, Tab Icon, Google tag manager, Postmark, TLS v1.0, Slack, Heroku, Google font api, Zendesk Chat, Form Html Element, Vimeo, Mysql, Typekit, Google Site Verification, _("Responsive"), WordPress 5, Camelonta Myvisitors, Triggerbee, Apache, Gmail, Contact Form 7 Wordpress Plugin, Hubspot, Linkedin, Vue.js, Javascript, Facebook, TLS v1.1</t>
  </si>
  <si>
    <t>Bokio Group AB</t>
  </si>
  <si>
    <t>Kungsportsavenyen 34</t>
  </si>
  <si>
    <t>bokio.se</t>
  </si>
  <si>
    <t>Small and Medium Businesses,Payments,Software,FinTech,Accounting,SaaS,Financial Services,Billing</t>
  </si>
  <si>
    <t>https://app.vainu.io/vainu/prospect/1374360/</t>
  </si>
  <si>
    <t>Global Site Tag, Azure Application Insights, MasterCard, TLS v1.2, Google analytics, Website, Mailchimp, SSL/TLS, Twitter, Microsoft asp.net, Office 365, Mobilepay, Klarna, Tab Icon, Google tag manager, Google play, Form Html Element, Youtube, Linkedin, _("Responsive"), _("Online_Store"), Gmail, Appinsights, Youtube Embed, Javascript, Facebook, Resurs Bank Instalment/Invoice</t>
  </si>
  <si>
    <t>Brightify AB</t>
  </si>
  <si>
    <t>Gustavslundsvägen 143</t>
  </si>
  <si>
    <t>brightify.se</t>
  </si>
  <si>
    <t>Information Technology,SaaS,Construction,Software</t>
  </si>
  <si>
    <t>https://app.vainu.io/vainu/prospect/1225999/</t>
  </si>
  <si>
    <t>PHP, Google font api, RapidWeaver, Website, Google analytics, Apache, Gmail, Flash, Form Html Element, Slack, Javascript, _("Responsive")</t>
  </si>
  <si>
    <t>Sv</t>
  </si>
  <si>
    <t>Brilliant Future AB</t>
  </si>
  <si>
    <t>Box 24182</t>
  </si>
  <si>
    <t>brilliantfuture.se</t>
  </si>
  <si>
    <t>Virtual Workforce,Software,Employee Engagement,Customer Experience,Information Technology,Human Resources,Customer Service,SaaS,Analytics,Market Research</t>
  </si>
  <si>
    <t>https://app.vainu.io/vainu/prospect/1177549/</t>
  </si>
  <si>
    <t>Global Site Tag, PHP, Teamtailor, Ziggeo, Linkedin Analytics / Advertisement Pixel, WeCloud, TLS v1.2, Google analytics, Gravatar, Office365 email, section.io, SSL/TLS, Jquery, Website, Twitter, Pardot, Outlook, WP Engine, Fontfaceobserver, Elementor, Office 365, Google maps, Microsoft exchange, Amazon CloudFront, Cloudflare, Yoast SEO, Wordpress, Varnish, Tab Icon, Google tag manager, Html5, MailJet, Ruby, TLS v1.0, Linkedin Data Partner, Linkedin Insight Tag, American Express, Heroku, GoToWebinar, Facebook Like Button Plugin, Google font api, Hubspot CMS, Facebook pixel, Nginx, Swedish, Salesforce marketing cloud, Facebook Share Button Plugin, Youtube Embed, Amazon web services, D3, Form Html Element, Vimeo, Microsoft azure, Mysql, English, Moment.js, Youtube, HubSpot CMS Hub, _("Responsive"), Google Site Verification, Rackcache, Hubspot, Hubspot Forms, Linkedin, Yoast SEO 15.7, Javascript, Facebook, TLS v1.1</t>
  </si>
  <si>
    <t>Briox AB</t>
  </si>
  <si>
    <t>Södra Järnvägsgatan 4a</t>
  </si>
  <si>
    <t>VÄXJÖ</t>
  </si>
  <si>
    <t>briox.se</t>
  </si>
  <si>
    <t>Small and Medium Businesses,Software,FinTech,Accounting,Information Technology,SaaS</t>
  </si>
  <si>
    <t>https://app.vainu.io/vainu/prospect/1317158/</t>
  </si>
  <si>
    <t>Global Site Tag, PHP, Gravatar, TLS v1.2, Google analytics, Website, SSL/TLS, Jquery, Estonian, Osano, Yoast SEO, Wordpress, Tab Icon, jQuery Migrate, Google tag manager, Html5, TLS v1.0, Nginx, Finnish, Form Html Element, Yoast SEO 17.1, Mysql, _("Responsive"), Google Site Verification, MaxMind, Cookie Consent By Insites, Gmail, Contact Form 7 Wordpress Plugin, Linkedin, Javascript, Facebook, TLS v1.1</t>
  </si>
  <si>
    <t>Buildsafe Sweden AB</t>
  </si>
  <si>
    <t>Gustavslundsvägen 147</t>
  </si>
  <si>
    <t>buildsafe.se</t>
  </si>
  <si>
    <t>Software,Construction,Information Technology,SaaS,Management Information Systems</t>
  </si>
  <si>
    <t>https://app.vainu.io/vainu/prospect/1637017/</t>
  </si>
  <si>
    <t>Global Site Tag, PHP, Vkontakte, Bootstrap, Website, Google analytics, Office365 email, SSL/TLS, Jquery, Tumblr, Mailchimp, Twitter, Visa, Outlook, WordPress 5.8, Elementor, Office 365, Google maps, Viber Public Chat, Amazon CloudFront, Tab Icon, Wordpress, jQuery Migrate, Google tag manager, Viber Share Button, Google play, TLS v1.0, Prism, Flickity, Pinterest, envoy, Weglot, Upsales Crm, Jimdo, Google font api, Sustainability Report, Nginx, Swedish, Angularjs, Shopify, Facebook Share Button Plugin, Youtube Embed, Amazon web services, Norwegian, Form Html Element, Vimeo, Liveinternet, Mysql, BidTheatre, English, _("Responsive"), WordPress 5, Intercom, _("Online_Store"), Apache, Linkedin, Javascript, Facebook, TLS v1.1</t>
  </si>
  <si>
    <t>Bygglet AB</t>
  </si>
  <si>
    <t>von Utfallsgatan 1</t>
  </si>
  <si>
    <t>bygglet.com</t>
  </si>
  <si>
    <t>Software,SaaS,Project Management,Construction</t>
  </si>
  <si>
    <t>https://app.vainu.io/vainu/prospect/1597635/</t>
  </si>
  <si>
    <t>Facebook Domain Verification, GitHub Pages, PHP, Bootstrap, Font awesome, Instagram, Smartyads, Gravatar, Google analytics, Slick, TLS v1.2, Twitter typeahead.js, SSL/TLS, Jquery, Website, Ruby on rails, Litespeed, Wordpress super cache, Adobe Typekit, Leadfeeder, Atlassian Domain Verification, Google maps, UNPKG, Freshdesk Freshchat, Yoast SEO, Wordpress, Tab Icon, jQuery Migrate, Google tag manager, Google play, Ruby, TLS v1.0, Slick 1.9, Google Optimize, Sustainability Report, Upsales Crm, Google font api, Freshchat, Youtube Embed, Amazon web services, jsDelivr, Form Html Element, BidTheatre, Mysql, Azure Edge, Youtube, _("Responsive"), MaxMind, Yoast SEO 17.0, Cookie Consent By Insites, Gmail, Gravity Forms, Linkedin, Javascript, Facebook, TLS v1.1</t>
  </si>
  <si>
    <t>CIND AB</t>
  </si>
  <si>
    <t>Gjuterigatan 9</t>
  </si>
  <si>
    <t>JÖNKÖPING</t>
  </si>
  <si>
    <t>cind.se</t>
  </si>
  <si>
    <t>Industrial Automation,Manufacturing</t>
  </si>
  <si>
    <t>https://app.vainu.io/vainu/prospect/30196815/</t>
  </si>
  <si>
    <t>Bootstrap, lodash, Wix, React, Website, _("Responsive"), Gmail, Tab Icon, SSL/TLS, Google Site Verification, Html5, Form Html Element, Whatsapp Website Icon, TLS v1.0, Youtube Embed, Javascript, Facebook, TLS v1.1</t>
  </si>
  <si>
    <t>CV Partner AB</t>
  </si>
  <si>
    <t>Grev Turegatan 30</t>
  </si>
  <si>
    <t>cvpartner.com</t>
  </si>
  <si>
    <t>Virtual Workforce,Small and Medium Businesses,Software,Information Technology,Human Resources,Internet,SaaS,Recruiting,Enterprise Software</t>
  </si>
  <si>
    <t>https://app.vainu.io/vainu/prospect/1384616168/</t>
  </si>
  <si>
    <t>Webflow, Dropbox, Linkedin Analytics / Advertisement Pixel, Intranet, TLS v1.2, Website, OneTrust, SSL/TLS, Jquery, Amazon SES, Danish, Twitter, Adobe Typekit, Amazon CloudFront, jQuery-pjax, Varnish, Cookielaw, Html5, Slack, German, Optanon Cookie Consent, Upsales Crm, Google font api, Adnxs, Nginx, Swedish, Norwegian, Amazon web services, Form Html Element, Vimeo, English, _("Responsive"), Google Site Verification, Eventbrite, Zendesk, Openresty, Linkedin, Javascript</t>
  </si>
  <si>
    <t>Care Of CRM AB</t>
  </si>
  <si>
    <t>Södra Larmgatan 16</t>
  </si>
  <si>
    <t>https://careofcrm.com/</t>
  </si>
  <si>
    <t>CRM,Software,Information Technology,Customer Service,SaaS,Sales</t>
  </si>
  <si>
    <t>https://app.vainu.io/vainu/prospect/1554056/</t>
  </si>
  <si>
    <t>PHP, Intranet, TLS v1.2, Website, Office365 email, SSL/TLS, Jquery, Albacross Analytics, Mailchimp, Outlook, Wordpress super cache, Adobe Typekit, Google maps, Microsoft exchange, Tab Icon, Wordpress, Google tag manager, Hotjar, Slack, Google font api, Nginx, animate.css, Swedish, Form Html Element, Vimeo, English, Mysql, Youtube, Linkedin, Typekit, Google Site Verification, _("Responsive"), Camelonta Myvisitors, Intercom, Recaptcha, Youtube Embed, Active Campaign, Javascript</t>
  </si>
  <si>
    <t>Centsoft AB</t>
  </si>
  <si>
    <t>Stureplan 15</t>
  </si>
  <si>
    <t>centsoft.se</t>
  </si>
  <si>
    <t>https://app.vainu.io/vainu/prospect/1424074/</t>
  </si>
  <si>
    <t>PHP, Doubleclick, Linkedin Analytics / Advertisement Pixel, TLS v1.2, Google analytics, Website, Office365 email, SSL/TLS, Jquery, Wp rocket, Outlook, Office 365, Microsoft exchange, Act-on, jQuery Migrate, Wordpress, Google tag manager, TLS v1.0, Hotjar, Nginx, Form Html Element, Mysql, Youtube, Linkedin, _("Responsive"), Zendesk, Recaptcha, Gravity Forms, Youtube Embed, Javascript, Facebook, TLS v1.1</t>
  </si>
  <si>
    <t>Chinsay AB</t>
  </si>
  <si>
    <t>Kungstensgatan 38</t>
  </si>
  <si>
    <t>chinsay.com</t>
  </si>
  <si>
    <t>Blockchain,API,Compliance,Software,FinTech,Risk Management,Information Technology,Contract Management,Internet,SaaS,Enterprise,Knowledge Management,Management Information Systems</t>
  </si>
  <si>
    <t>https://app.vainu.io/vainu/prospect/1351434/</t>
  </si>
  <si>
    <t>Global Site Tag, PHP, Vkontakte, Bootstrap, Gravatar, Website, Google analytics, Microsoft IIS, Chart.js, Office365 email, Jquery, Tumblr, Twitter, Microsoft IIS 10.0, Mailchimp, Outlook, Microsoft asp.net, Office 365, Microsoft exchange, Tab Icon, Wordpress, jQuery Migrate, Google tag manager, Modernizr, WordPress 5.7, Slack, Pinterest, GoToWebinar, Google font api, Lightbox, Hubspot CMS, Javascript, Microsoft azure, Form Html Element, Whatsapp Website Icon, Vimeo, Mysql, Linkedin, Youtube, _("Responsive"), WordPress 5, Intercom, Zendesk, Hubspot Analytics, Squarespace, Hubspot, Hubspot Forms, Choices, Youtube Embed, Hubspot Ads Pixel, Facebook</t>
  </si>
  <si>
    <t>Cinode AB</t>
  </si>
  <si>
    <t>BOX 45021</t>
  </si>
  <si>
    <t>cinode.com</t>
  </si>
  <si>
    <t>Virtual Workforce,Career Planning,Crowdsourcing,B2B,Software,Information Technology,Knowledge Management,Human Resources,Internet,Skill Assessment,SaaS,Enterprise,Collaboration,Enterprise Software</t>
  </si>
  <si>
    <t>https://app.vainu.io/vainu/prospect/1526418/</t>
  </si>
  <si>
    <t>PHP, React, Instagram, Intranet, TLS v1.2, Google analytics, Gravatar, Website, SSL/TLS, Jquery, Amazon SES, Mailchimp, Twitter, WP Engine, Microsoft asp.net, Google maps, Amazon CloudFront, Yoast SEO, Wordpress, Kestrel, Tab Icon, jQuery Migrate, Google tag manager, TLS v1.0, Intercom Articles, Google font api, Nginx, Facebook Share Button Plugin, Amazon web services, Form Html Element, Mysql, Youtube, Linkedin, _("Responsive"), Intercom, CookieYes, Castle Accont Takeout Prevention, Gmail, Yoast SEO 16.5, Youtube Embed, Javascript, Facebook, TLS v1.1</t>
  </si>
  <si>
    <t>Sv, En, Fi</t>
  </si>
  <si>
    <t>Cliento AB</t>
  </si>
  <si>
    <t>Engelbrektsgatan 5</t>
  </si>
  <si>
    <t>cliento.com</t>
  </si>
  <si>
    <t>Beauty,SaaS,Scheduling,Software</t>
  </si>
  <si>
    <t>https://app.vainu.io/vainu/prospect/1561529/</t>
  </si>
  <si>
    <t>Facebook Domain Verification, Nginx 1.21, TLS v1.2, Google analytics, Website, Mailchimp, SSL/TLS, Jquery, Amazon SES, Twitter, Zurb foundation, Booking Widget (All), Tab Icon, Sentry 6.12, Html5, Google play, Nginx, Zendesk Chat, Sentry, Amazon web services, Form Html Element, Vimeo, _("Responsive"), Google Site Verification, Zendesk, Gmail, Linkedin, Javascript, Facebook</t>
  </si>
  <si>
    <t>Cling Group AB</t>
  </si>
  <si>
    <t>Box 3613</t>
  </si>
  <si>
    <t>https://cling.se/</t>
  </si>
  <si>
    <t>Internet,Information Technology,SaaS,Software</t>
  </si>
  <si>
    <t>https://app.vainu.io/vainu/prospect/116293757/</t>
  </si>
  <si>
    <t>Facebook Domain Verification, PHP, Instagram, TLS v1.2, Google analytics, Website, Mailchimp, SSL/TLS, Twitter, Amazon CloudFront, Tab Icon, Nuxt.js, Html5, Crisp Chat, TLS v1.0, Google Optimize, AmazonS, Node.js, Google font api, Facebook pixel, Amazon web services, Form Html Element, Segment, _("Responsive"), Google Site Verification, Blog, Gmail, Vue.js, Javascript, Facebook, TLS v1.1</t>
  </si>
  <si>
    <t>Cloudmore AB</t>
  </si>
  <si>
    <t>Box 16</t>
  </si>
  <si>
    <t>DANDERYD</t>
  </si>
  <si>
    <t>Färögatan 33</t>
  </si>
  <si>
    <t>KISTA</t>
  </si>
  <si>
    <t>cloudmore.com</t>
  </si>
  <si>
    <t>Small and Medium Businesses,Software,Cloud Management,Cloud Computing,Information Technology,Internet,PaaS,SaaS,Management Information Systems,Enterprise,Enterprise Software</t>
  </si>
  <si>
    <t>https://app.vainu.io/vainu/prospect/1362970/</t>
  </si>
  <si>
    <t>PHP, Bootstrap, Workable, Font awesome, Intranet, TLS v1.2, Google analytics, Website, Microsoft IIS, Office365 email, Autotask, SSL/TLS, Jquery, Twitter, Microsoft IIS 10.0, Outlook, Microsoft asp.net, Office 365, Microsoft exchange, Cloudflare, Microsoft ASP.NET 4.0, Tab Icon, Google tag manager, Hubspot Rss Feed, Xhtml, Slack, GoToWebinar, Google font api, Addthis, Hubspot CMS, animate.css, Form Html Element, Vimeo, English, Linkedin Sign-in, Bootstrap 4.5, Linkedin, Youtube, HubSpot CMS Hub, _("Responsive"), Google Site Verification, Hubspot Marketing Hub, Jquery ui, Hubspot, Hubspot Forms, Youtube Embed, Javascript, Facebook, AMP</t>
  </si>
  <si>
    <t>Codra AB</t>
  </si>
  <si>
    <t>Bagarbyvägen 13M</t>
  </si>
  <si>
    <t>codra.se</t>
  </si>
  <si>
    <t>SaaS,Construction,Software</t>
  </si>
  <si>
    <t>https://app.vainu.io/vainu/prospect/112495633/</t>
  </si>
  <si>
    <t>Global Site Tag, PHP, Bootstrap, Instagram, TLS v1.2, Google analytics, Website, SSL/TLS, Jquery, Google tag manager, Html5, TLS v1.0, Google font api, Form Html Element, Youtube, _("Responsive"), Google Site Verification, Gmail, Youtube Embed, Javascript, TLS v1.1</t>
  </si>
  <si>
    <t>Combuyit AB</t>
  </si>
  <si>
    <t>Svenshögsvägen 6</t>
  </si>
  <si>
    <t>ARLÖV</t>
  </si>
  <si>
    <t>http://www.combuyit.com</t>
  </si>
  <si>
    <t>B2B,Software,Supply Chain Management,Information Technology,Contract Management,SaaS,E-Commerce,Procurement</t>
  </si>
  <si>
    <t>https://app.vainu.io/vainu/prospect/112486288/</t>
  </si>
  <si>
    <t>Global Site Tag, PHP, Bootstrap, Font awesome, Instagram, Gravatar, TLS v1.2, Google analytics, Website, Chart.js, SSL/TLS, Jquery, Tumblr, Twitter, Revslider, Wordpress super cache, Wordpress 4.9, Google maps, Tab Icon, Wordpress, jQuery Migrate, Google tag manager, TLS v1.0, Modernizr, Slack, Pinterest, Wordpress 4, Google font api, Lightbox, Nginx, Form Html Element, Whatsapp Website Icon, Vimeo, Mysql, Youtube, Linkedin, Google Plus, _("Responsive"), Google Site Verification, Recaptcha, Contact Form 7 Wordpress Plugin, Revslider 5.4, Choices, Youtube Embed, Javascript, Facebook, TLS v1.1</t>
  </si>
  <si>
    <t>Sv, En, la</t>
  </si>
  <si>
    <t>Comintelli AB</t>
  </si>
  <si>
    <t>https://comintelli.com/</t>
  </si>
  <si>
    <t>Artificial Intelligence,Business Intelligence,Predictive Analytics,Software,Semantic Web,Information Technology,Enterprise Software,Analytics,SaaS,Big Data,Intelligent Systems,Data Mining,Machine Learning</t>
  </si>
  <si>
    <t>https://app.vainu.io/vainu/prospect/1294118/</t>
  </si>
  <si>
    <t>PHP, Site Kit 1.40, Instagram, Intranet, TLS v1.2, Google analytics, Gravatar, Website, SSL/TLS, Jquery, Twitter, Yoast SEO, Wordpress, Tab Icon, Google tag manager, TLS v1.0, Slack, Pinterest, Google font api, Nginx, ActiveCampaign, Facebook Share Button Plugin, Site Kit, Form Html Element, Yoast SEO 17.1, Mysql, Youtube, Linkedin, _("Responsive"), Google Site Verification, WordPress 5, Zendesk, Gmail, Youtube Embed, Active Campaign, Javascript, Facebook, TLS v1.1</t>
  </si>
  <si>
    <t>Companyexpense Svenska AB</t>
  </si>
  <si>
    <t>Box 108</t>
  </si>
  <si>
    <t>LUDVIKA</t>
  </si>
  <si>
    <t>companyexpense.se</t>
  </si>
  <si>
    <t>Accounting,SaaS,Software,Human Resources</t>
  </si>
  <si>
    <t>https://app.vainu.io/vainu/prospect/116685366/</t>
  </si>
  <si>
    <t>Nginx 1.12, Global Site Tag, PHP, Google adwords, Eurocard, Linkedin Analytics / Advertisement Pixel, Instagram, Gravatar, Website, Google analytics, Jquery, Twitter, Swiper Slider, Flash video, Leadfeeder, Select2, Yoast SEO 14.4, Yoast SEO, Wordpress, Tab Icon, jQuery Migrate, Flash, Google tag manager, Hotjar, Linkedin Data Partner, Slack, Linkedin Insight Tag, American Express, wpBakery, Upsales Crm, Google font api, Facebook pixel, Nginx, Swedish, Finnish, Norwegian, Youtube Embed, Form Html Element, Vimeo, BidTheatre, Mysql, Flickr, Youtube, English, _("Responsive"), Google Site Verification, WordPress 5, Intercom, Gmail, Recaptcha, Contact Form 7 Wordpress Plugin, Linkedin, Javascript, Facebook</t>
  </si>
  <si>
    <t>Controlkeeper AB</t>
  </si>
  <si>
    <t>Box 41</t>
  </si>
  <si>
    <t>https://www.controlkeeper.com/</t>
  </si>
  <si>
    <t>Small and Medium Businesses,API,Compliance,Consumer Software,Software,Information Technology,Contract Management,SaaS,Business Information Systems,Management Information Systems</t>
  </si>
  <si>
    <t>https://app.vainu.io/vainu/prospect/1331478/</t>
  </si>
  <si>
    <t>Sustainability Report, PHP, Website, _("Responsive"), Slick, Microsoft IIS, Albacross Analytics, Facebook Share Button Plugin, Jquery, Google tag manager, Twitter, Form Html Element, Microsoft IIS 10.0, Slack, Google Plus, Javascript, Facebook, Google Site Verification</t>
  </si>
  <si>
    <t>Coredination AB</t>
  </si>
  <si>
    <t>Tulegatan 18 BV</t>
  </si>
  <si>
    <t>SUNDBYBERG</t>
  </si>
  <si>
    <t>coredination.com</t>
  </si>
  <si>
    <t>Facility Management,Software,Information Technology,SaaS,Enterprise,Business Information Systems,Productivity Tools,Management Information Systems</t>
  </si>
  <si>
    <t>https://app.vainu.io/vainu/prospect/1392366/</t>
  </si>
  <si>
    <t>Global Site Tag, PHP, Bootstrap, Instagram, Intranet, Gravatar, Google analytics, Slick, Website, Jquery, Twitter, Litespeed, Elementor, Google maps, Amazon CloudFront, Yoast SEO, Wordpress, Tab Icon, jQuery Migrate, Flash, Google tag manager, Modernizr, Slack, Sustainability Report, AmazonS, Google font api, Lightbox, Facebook pixel, Swedish, Facebook Share Button Plugin, Amazon web services, Form Html Element, English, Yoast SEO 17.1, Mysql, Youtube, Linkedin, _("Responsive"), Google Site Verification, Gravity Forms 2.5, Gmail, Gravity Forms, Choices, Youtube Embed, Javascript, Facebook</t>
  </si>
  <si>
    <t>Custellence Enterprise AB</t>
  </si>
  <si>
    <t>Götgatan 128</t>
  </si>
  <si>
    <t>custellence.com</t>
  </si>
  <si>
    <t>Consumer Software,Software,Customer Engagement,Customer Experience,Information Technology,Contact Management,Real Time,Customer Service,SaaS,Management Information Systems,Productivity Tools,Enterprise Software</t>
  </si>
  <si>
    <t>https://app.vainu.io/vainu/prospect/112628956/</t>
  </si>
  <si>
    <t>Global Site Tag, Bootstrap, MasterCard, Instagram, Intranet, TLS v1.2, Google analytics, Smartyads, Website, SSL/TLS, Jquery, Twitter, Visa, Amazon CloudFront, Osano, Tab Icon, Google tag manager, Html5, TLS v1.0, Slack, American Express, Stripe Online Payments, AmazonS, Intercom Articles, Google font api, Facebook pixel, Nginx, Swedish, Youtube Embed, Amazon web services, Form Html Element, Stripe, Vimeo, Linkedin, _("Responsive"), Google Sign-in, Google Site Verification, MaxMind, Intercom, Blog, Cookie Consent By Insites, _("Online_Store"), OWL Carousel, Gmail, Castle Accont Takeout Prevention, SlideShare, Javascript, Facebook, TLS v1.1</t>
  </si>
  <si>
    <t>DPOrganizer AB</t>
  </si>
  <si>
    <t>Grev Turegatan 3</t>
  </si>
  <si>
    <t>beyano.com</t>
  </si>
  <si>
    <t>Compliance,Privacy,SaaS</t>
  </si>
  <si>
    <t>https://app.vainu.io/vainu/prospect/116859186/</t>
  </si>
  <si>
    <t>PHP, Bootstrap, Font awesome, Website, Mailchimp, Jquery, Amazon CloudFront, Tab Icon, Google tag manager, AmazonS, animate.css, Amazon web services, Vimeo, Linkedin, _("Responsive"), TLS problem, particles.js, Gmail, Youtube Embed, Javascript</t>
  </si>
  <si>
    <t>Data Talks AB</t>
  </si>
  <si>
    <t>Kungsbroplan 3</t>
  </si>
  <si>
    <t>https://www.datatalks.se/</t>
  </si>
  <si>
    <t>Software,Semantic Web,Customer Engagement,Marketing Automation,E-Commerce,Analytics,CRM,API,Personalization,Digital Marketing,Customer Experience,Real Time,Social CRM,SaaS,Big Data,Business Intelligence,B2C,Lead Generation,Information Technology,Marketing,Customer Service,Data Integration</t>
  </si>
  <si>
    <t>https://app.vainu.io/vainu/prospect/1520220/</t>
  </si>
  <si>
    <t>PHP, Vkontakte, Bootstrap, Font awesome, SALESmanago, TLS v1.2, Website, SSL/TLS, Jquery, Tumblr, Bootstrap 3.2, Twitter, Blazor, Swiper Slider, W3 total cache, Yoast SEO 16.9, Microsoft asp.net, Elementor, Google maps, Select2, Viber Public Chat, Clipboard.js, Pipedrive Leadbooster, Yoast SEO, Wordpress, Kestrel, Tab Icon, Flash, Html5, Viber Share Button, jQuery Migrate, Google tag manager, Prism, Hotjar, Flickity, Pinterest, GoToWebinar, Google font api, Hubspot CMS, Nginx, animate.css, Calendly, Swedish, W3 Total Cache 2.1, Facebook Share Button Plugin, Javascript, Whatsapp Website Icon, Form Html Element, Vimeo, Mysql, Yoast SEO 17.1, Youtube, Google Plus, Liveinternet, Pendo, _("Responsive"), English, WordPress 5, Opencart, Pipedrive, Hubspot Analytics, _("Online_Store"), Gmail, Recaptcha, Contact Form 7 Wordpress Plugin, Hubspot, Hubspot Forms, Linkedin, Hubspot Ads Pixel, Facebook, TLS v1.1</t>
  </si>
  <si>
    <t>Deal Management Nordic AB</t>
  </si>
  <si>
    <t>Box 17</t>
  </si>
  <si>
    <t>https://www.dealmanagement.se/</t>
  </si>
  <si>
    <t>https://app.vainu.io/vainu/prospect/1497842/</t>
  </si>
  <si>
    <t>Global Site Tag, PHP, Instagram, TLS v1.2, Website, SSL/TLS, Jquery, Twitter, Google tag manager, Html5, TLS v1.0, Slack, Mouseflow, Form Html Element, Vimeo, _("Responsive"), Linkedin, Javascript, Facebook, TLS v1.1</t>
  </si>
  <si>
    <t>Defentry AB</t>
  </si>
  <si>
    <t>Box 16406</t>
  </si>
  <si>
    <t>defentry.com</t>
  </si>
  <si>
    <t>Fraud Detection,Artificial Intelligence,Software,Darknet,Risk Management,Information Technology,Privacy,Cyber Security,Machine Learning,SaaS,Security,Network Security,Data Security</t>
  </si>
  <si>
    <t>https://app.vainu.io/vainu/prospect/2214624/</t>
  </si>
  <si>
    <t>Facebook Domain Verification, PHP, MasterCard, TLS v1.2, Google analytics, Website, SSL/TLS, Jquery, Twitter, Atlassian Domain Verification, Amazon CloudFront, Cloudflare, Tab Icon, Html5, TLS v1.0, Slack, AMP, GoToWebinar, Google font api, Hubspot CMS, Facebook Share Button Plugin, Mailgun, Amazon web services, Form Html Element, Linkedin Sign-in, HubSpot CMS Hub, _("Responsive"), Google Site Verification, Gmail, Hubspot, Hubspot Forms, Linkedin, Javascript, Facebook, TLS v1.1</t>
  </si>
  <si>
    <t>Delibr AB</t>
  </si>
  <si>
    <t>Drakenbergsgatan 53</t>
  </si>
  <si>
    <t>delibr.com</t>
  </si>
  <si>
    <t>API,Developer Platform,Consumer Software,Software,Product Management,Information Technology,Contact Management,Document Management,Developer Tools,SaaS,Management Information Systems,Enterprise,Collaboration,Productivity Tools,Enterprise Software,Developer APIs</t>
  </si>
  <si>
    <t>https://app.vainu.io/vainu/prospect/1362039/</t>
  </si>
  <si>
    <t>Facebook Domain Verification, PHP, Webflow, Teamtailor, Ubuntu, MasterCard, Font awesome, Help Scout, Gravatar, TLS v1.2, Google analytics, Website, section.io, SSL/TLS, Jquery, Twitter, Stimulus, Adobe Typekit, Tab Icon, Varnish, Ruby, Autopilot, Html5, Nginx 1.10, American Express, Heroku, Google font api, Facebook pixel, Nginx, New relic, Form Html Element, Vimeo, Linkedin, Youtube, Segment, _("Responsive"), Google Site Verification, Blog, Rackcache, Apache, Gmail, Recaptcha, Sendgrid, Openresty, Youtube Embed, Javascript, Facebook</t>
  </si>
  <si>
    <t>Dineflow AB</t>
  </si>
  <si>
    <t>Lundvalls väg 5</t>
  </si>
  <si>
    <t>ÖREBRO</t>
  </si>
  <si>
    <t>dineflow.se</t>
  </si>
  <si>
    <t>Franchise,Consumer Software,Software,E-Commerce,Restaurants,Product Search,Internet,SaaS,Food and Beverage,Management Information Systems</t>
  </si>
  <si>
    <t>https://app.vainu.io/vainu/prospect/1210363742/</t>
  </si>
  <si>
    <t>PHP, Website, SSL/TLS, Jquery, WordPress 5.8, Flash video, Cloudflare, Klarna, jQuery Migrate, Wordpress, Flash, TLS v1.0, Google font api, Facebook Share Button Plugin, Form Html Element, Mysql, _("Responsive"), Google Site Verification, WordPress 5, _("Online_Store"), Recaptcha, Contact Form 7 Wordpress Plugin, Javascript, Facebook, TLS v1.1</t>
  </si>
  <si>
    <t>Dokiv AB</t>
  </si>
  <si>
    <t>Parkgatan 46</t>
  </si>
  <si>
    <t>BORÅS</t>
  </si>
  <si>
    <t>dokiv.com</t>
  </si>
  <si>
    <t>https://app.vainu.io/vainu/prospect/1425190/</t>
  </si>
  <si>
    <t>PHP, Google font api, Nginx, TLS v1.2, Google analytics, Facebook, Website, Wordpress, SSL/TLS, _("Responsive"), Sendgrid, Wordpress 4.9, nginx 1.6, Mysql, Javascript, Wordpress 4, Google Site Verification</t>
  </si>
  <si>
    <t>Dreamler AB</t>
  </si>
  <si>
    <t>Kungsportsavenyn 21</t>
  </si>
  <si>
    <t>dreamler.com</t>
  </si>
  <si>
    <t>Virtual Workforce,Developer Platform,Consumer Software,Software,Application Performance Management,Task Management,Information Technology,Project Management,Real Time,SaaS,Apps,Enterprise,Management Information Systems,Collaboration,Productivity Tools,Enterprise Software</t>
  </si>
  <si>
    <t>https://app.vainu.io/vainu/prospect/1491509/</t>
  </si>
  <si>
    <t>PHP, Bootstrap, Font awesome, Smartyads, Gravatar, Google analytics, TLS v1.2, Website, SSL/TLS, Jquery, Twitter, Revslider, Adobe Typekit, Revslider 5.1, Spot.Im / Disgus, Cloudflare, Yoast SEO, Wordpress, Tab Icon, jQuery Migrate, Flash, Html5, Google tag manager, TLS v1.0, Modernizr, Yoast SEO 3.0, Slack, Pinterest, Wordpress 4, Addthis, Lightbox, FullStory, Nginx, Youtube Embed, Form Html Element, Vimeo, Mysql, Youtube, Segment, _("Responsive"), Disqus, Google Site Verification, OWL Carousel, Gmail, Contact Form 7 Wordpress Plugin, User Voice, Sendgrid, Linkedin, Javascript, Facebook, TLS v1.1</t>
  </si>
  <si>
    <t>Sv, En, Fr</t>
  </si>
  <si>
    <t>E-space Communication AB</t>
  </si>
  <si>
    <t>Djäknegatan 9</t>
  </si>
  <si>
    <t>http://e-space.se/</t>
  </si>
  <si>
    <t>Software,Semantic Web,Information Technology,Real Time,Internet,SaaS,Analytics</t>
  </si>
  <si>
    <t>https://app.vainu.io/vainu/prospect/1262055/</t>
  </si>
  <si>
    <t>PHP, Intranet, TLS v1.2, Website, Slick, Office365 email, SSL/TLS, Jquery, Mailchimp, Twitter, SendinBlue, Outlook, Office 365, Microsoft exchange, Amazon CloudFront, Cloudflare, Tab Icon, TLS v1.0, Zoho Email, Pinterest, GoToWebinar, Google font api, Hubspot CMS, Swedish, Facebook Share Button Plugin, Amazon web services, Form Html Element, Vimeo, English, Flickr, Linkedin, HubSpot CMS Hub, _("Responsive"), Google Site Verification, Extranet, Hubspot Marketing Hub, Hubspot, Hubspot Forms, Youtube Embed, Javascript, Facebook, TLS v1.1</t>
  </si>
  <si>
    <t>Effekt Concept AB</t>
  </si>
  <si>
    <t>bizzjoiner.com</t>
  </si>
  <si>
    <t>CRM,Consumer Software,Software,Customer Engagement,Customer Experience,Information Technology,Contact Management,Enterprise Software,Customer Service,SaaS,Business Information Systems,Management Information Systems</t>
  </si>
  <si>
    <t>https://app.vainu.io/vainu/prospect/113179248/</t>
  </si>
  <si>
    <t>PHP, Apache 2.4, Ubuntu, Bootstrap, Font awesome, Linkedin Analytics / Advertisement Pixel, TLS v1.2, Google analytics, Website, SSL/TLS, Tawk.To Chat, Jquery, Twitter, Instafeed, Google maps, Drupal, Bootstrap 4.2, Tab Icon, Google tag manager, ConvertKit, TLS v1.0, Drupal 8, Linkedin Data Partner, Slack, Linkedin Insight Tag, Google font api, Facebook pixel, Swedish, jsDelivr, Form Html Element, English, Youtube, _("Responsive"), Apache, Recaptcha, Youtube Embed, Javascript, Facebook, TLS v1.1</t>
  </si>
  <si>
    <t>Eletive AB</t>
  </si>
  <si>
    <t>Gustav Adolfs torg 47</t>
  </si>
  <si>
    <t>eletive.com</t>
  </si>
  <si>
    <t>Virtual Workforce,Artificial Intelligence,Talent Management,Software,Employee Engagement,Information Technology,Human Resources,Skill Assessment,Enterprise Software,SaaS,Management Information Systems,Enterprise,Productivity Tools,Analytics</t>
  </si>
  <si>
    <t>https://app.vainu.io/vainu/prospect/1473826/</t>
  </si>
  <si>
    <t>Facebook Domain Verification, PHP, Teamtailor, Ziggeo, Font awesome, React, Instagram, TLS v1.2, Google analytics, Website, Office365 email, section.io, SSL/TLS, Jquery, Amazon SES, Twitter, Gatsby, Outlook, Fontfaceobserver, Stimulus, Linkedin Jobs Plugin, Google maps, Microsoft exchange, Amazon CloudFront, Element UI, Webpack, Tab Icon, Wordpress, Varnish, Google tag manager, Gatsby 2.27, Html5, Ruby, TLS v1.0, AmazonS, Heroku, Facebook Like Button Plugin, Google font api, Swedish, Facebook Share Button Plugin, Amazon web services, Form Html Element, Vimeo, English, Linkedin, _("Responsive"), Rackcache, Hubspot Forms, Contentful, Youtube Embed, Vue.js, Javascript, Facebook, TLS v1.1</t>
  </si>
  <si>
    <t>Embrace</t>
  </si>
  <si>
    <t>Mosstorpsvägen 19</t>
  </si>
  <si>
    <t>SKÄRBLACKA</t>
  </si>
  <si>
    <t>embraceeducation.com</t>
  </si>
  <si>
    <t>Consumer Software,Software,Information Technology,Education,Computer,Customer Service,SaaS,Management Information Systems</t>
  </si>
  <si>
    <t>https://app.vainu.io/vainu/prospect/113167305/</t>
  </si>
  <si>
    <t>PHP, Instagram, Website, Google analytics, Jquery, Twitter, Oracle marketing cloud, WordPress 5.8, Office 365, Atlassian Domain Verification, Cloudflare, Yoast SEO, Wordpress, Tab Icon, Google tag manager, Html5, Slack, Pinterest, Google Pay, GoToWebinar, Google font api, Hubspot CMS, Facebook pixel, Yoast SEO 17.2, Vidyard, Facebook Share Button Plugin, Youtube Embed, Amazon web services, Javascript, Form Html Element, Vimeo, Mysql, Linkedin Sign-in, Youtube, Google Plus, HubSpot CMS Hub, _("Responsive"), Google Sign-in, Google Site Verification, WordPress 5, Blog, Hubspot Analytics, Apache, Hubspot Marketing Hub, Gmail, Box, Hubspot, Hubspot Forms, Linkedin, Hubspot Ads Pixel, Facebook, AMP</t>
  </si>
  <si>
    <t>Enalyzer Sverige AB</t>
  </si>
  <si>
    <t>Sveavägen 9-11</t>
  </si>
  <si>
    <t>enalyzer.com</t>
  </si>
  <si>
    <t>https://app.vainu.io/vainu/prospect/1605752/</t>
  </si>
  <si>
    <t>Enigio Time AB</t>
  </si>
  <si>
    <t>Drottningholmsvägen 10</t>
  </si>
  <si>
    <t>enigio.com</t>
  </si>
  <si>
    <t>API,Software,FinTech,Information Services,Information Technology,Document Management</t>
  </si>
  <si>
    <t>https://app.vainu.io/vainu/prospect/1225612/</t>
  </si>
  <si>
    <t>PHP, Gravatar, TLS v1.2, Google analytics, Website, Office365 email, SSL/TLS, Jquery, Twitter, Litespeed, Collector Bank, Outlook, Litespeed Cache, Yoast SEO, Wordpress, Tab Icon, jQuery Migrate, Google tag manager, Html5, TLS v1.0, Wix, Shopify, Site Kit, Form Html Element, Yoast SEO 17.1, Mysql, Youtube, Linkedin, _("Responsive"), WordPress 5, _("Online_Store"), Site Kit 1.41, Contact Form 7 Wordpress Plugin, Youtube Embed, Javascript, Facebook, TLS v1.1</t>
  </si>
  <si>
    <t>Estabild AB</t>
  </si>
  <si>
    <t>Karlbergsvägen 44</t>
  </si>
  <si>
    <t>estabild.com</t>
  </si>
  <si>
    <t>Software,Construction,Information Technology,Project Management,Real Time,SaaS,Management Information Systems</t>
  </si>
  <si>
    <t>https://app.vainu.io/vainu/prospect/1865599203/</t>
  </si>
  <si>
    <t>Global Site Tag, Google adwords, Webflow, Bootstrap, MasterCard, Font awesome, Instagram, TLS v1.2, Google analytics, Website, SSL/TLS, Amplitude, Jquery, Twitter, Adobe Typekit, Embed.Ly, Wistia, Google maps, Helpcrunch Chat, Cxense, Tab Icon, Google tag manager, Varnish, Slack, American Express, MailerLite, Google font api, Facebook pixel, Nginx, Swedish, Form Html Element, Bootstrap 4.7, Vimeo, English, Segment, _("Responsive"), Google Site Verification, Nginx 1.20, Smartlook, Gmail, Spanish, Hubspot, Openresty, Linkedin, Active Campaign, Javascript, Facebook</t>
  </si>
  <si>
    <t>Sv, En, Es</t>
  </si>
  <si>
    <t>Exsens AB</t>
  </si>
  <si>
    <t>Fürstenbergsgatan 4</t>
  </si>
  <si>
    <t>timeplan.se</t>
  </si>
  <si>
    <t>Virtual Workforce,Office Administration,Software,Information Technology,Software Engineering,Human Resources,SaaS,Enterprise,Productivity Tools,Management Information Systems,Scheduling</t>
  </si>
  <si>
    <t>https://app.vainu.io/vainu/prospect/1562607/</t>
  </si>
  <si>
    <t>PHP, Gravatar, TLS v1.2, Google analytics, Website, Office365 email, SSL/TLS, Jquery, Twitter, Litespeed, Wp rocket, Outlook, Microsoft exchange, Amazon CloudFront, Cloudflare, Tab Icon, Wordpress, Google tag manager, Html5, Google play, TLS v1.0, WordPress 5.7, Sustainability Report, GoToWebinar, Google font api, Hubspot CMS, Swedish, Hubspot Customer Feedback, Vidyard, Javascript, Youtube Embed, Amazon web services, Microsoft azure, Form Html Element, Vimeo, English, Mysql, Flickr, Linkedin Sign-in, Hubspot Live Chat, HubSpot CMS Hub, _("Responsive"), Google Site Verification, WordPress 5, MaxMind, Hubspot Leadflows, Hubspot Analytics, Cookie Consent By Insites, Hubspot Marketing Hub, Hubspot, Hubspot Forms, Linkedin, Hubspot Ads Pixel, Facebook, TLS v1.1</t>
  </si>
  <si>
    <t>Eyeoda AB</t>
  </si>
  <si>
    <t>Uttervägen 15</t>
  </si>
  <si>
    <t>SALTSJÖ-BOO</t>
  </si>
  <si>
    <t>eyeoda.com</t>
  </si>
  <si>
    <t>Software,Messaging,Customer Service,SaaS,Telecommunications</t>
  </si>
  <si>
    <t>https://app.vainu.io/vainu/prospect/112321741/</t>
  </si>
  <si>
    <t>Webflow, TLS v1.2, Google analytics, Website, SSL/TLS, Tawk.To Chat, Jquery, Adobe Typekit, Google tag manager, Varnish, Typeform, Google play, Google font api, Facebook pixel, Nginx, Form Html Element, _("Responsive"), Google Site Verification, Recaptcha, Openresty, Javascript, Facebook</t>
  </si>
  <si>
    <t>Favro AB</t>
  </si>
  <si>
    <t>Drottninggatan 2</t>
  </si>
  <si>
    <t>UPPSALA</t>
  </si>
  <si>
    <t>https://www.favro.com</t>
  </si>
  <si>
    <t>Virtual Workforce,Developer Platform,Software,Gamification,Application Performance Management,Task Management,Project Management,Real Time,SaaS,Management Information Systems,Enterprise,Collaboration,Productivity Tools,Enterprise Software</t>
  </si>
  <si>
    <t>https://app.vainu.io/vainu/prospect/454388535/</t>
  </si>
  <si>
    <t>Global Site Tag, Facebook Domain Verification, Webflow, React, TLS v1.2, Google analytics, Website, SSL/TLS, Jquery, Amazon SES, Twitter, Adobe Typekit, Office 365, Apple App Store, Amazon CloudFront, Meteor, Tab Icon, Wordpress, Varnish, Google tag manager, Arabic, Google play, Hotjar, AmazonS, Node.js, Intercom Articles, Google font api, Nginx, Detectify, Amazon web services, Form Html Element, Mongodb, English, Linkedin, Youtube, _("Responsive"), Google Site Verification, Intercom, Zendesk, Blog, _("Online_Store"), Castle Accont Takeout Prevention, Gmail, Openresty, Youtube Embed, Javascript, Facebook</t>
  </si>
  <si>
    <t>Ar, En, la</t>
  </si>
  <si>
    <t>Fieldly AB</t>
  </si>
  <si>
    <t>Dockplatsen 1</t>
  </si>
  <si>
    <t>fieldly.com</t>
  </si>
  <si>
    <t>Construction,Software,Information Technology,Project Management,SaaS,Management Information Systems</t>
  </si>
  <si>
    <t>https://app.vainu.io/vainu/prospect/1276662/</t>
  </si>
  <si>
    <t>Webflow, Teamtailor, Linkedin Analytics / Advertisement Pixel, Instagram, TLS v1.2, Google analytics, Website, section.io, SSL/TLS, Jquery, Danish, Twitter, Adobe Typekit, Embed.Ly, Leadfeeder, Office 365, Tab Icon, Google tag manager, Varnish, Ruby, Html5, Hotjar, Linkedin Data Partner, Slack, Linkedin Insight Tag, Facebook Page Plugin, Heroku, Google font api, Facebook pixel, Nginx, Swedish, Norwegian, Form Html Element, English, Youtube, _("Responsive"), Google Site Verification, Intercom, Hubspot Analytics, Rackcache, Gmail, Hubspot, Openresty, Linkedin, Javascript, Facebook</t>
  </si>
  <si>
    <t>Findity AB</t>
  </si>
  <si>
    <t>findity.se</t>
  </si>
  <si>
    <t>Payments,Software,FinTech,Information Technology,SaaS,Financial Services,Tourism,Travel</t>
  </si>
  <si>
    <t>https://app.vainu.io/vainu/prospect/1278376/</t>
  </si>
  <si>
    <t>Nginx 1.12, Global Site Tag, PHP, Google adwords, Eurocard, Instagram, Gravatar, TLS v1.2, Google analytics, Website, SSL/TLS, Jquery, Twitter, Swiper Slider, Flash video, Select2, Yoast SEO 14.4, Yoast SEO, Wordpress, Tab Icon, jQuery Migrate, Flash, Google tag manager, Slack, American Express, wpBakery, Upsales Crm, Google font api, Nginx, Swedish, Youtube Embed, Form Html Element, Vimeo, BidTheatre, Mysql, Flickr, Youtube, English, _("Responsive"), WordPress 5, Recaptcha, Contact Form 7 Wordpress Plugin, Linkedin, Javascript, Facebook</t>
  </si>
  <si>
    <t>FlatFrog Laboratories AB</t>
  </si>
  <si>
    <t>Scheelevägen 15 A</t>
  </si>
  <si>
    <t>LUND</t>
  </si>
  <si>
    <t>flatfrog.com</t>
  </si>
  <si>
    <t>Virtual Workforce,Meeting Software,Software,Information Technology,Task Management,Project Management,Contact Management,Management Information Systems,SaaS,Enterprise,Collaboration,Productivity Tools,Enterprise Software</t>
  </si>
  <si>
    <t>https://app.vainu.io/vainu/prospect/1455744/</t>
  </si>
  <si>
    <t>Nginx 1.17, Webflow, Teamtailor, TLS v1.2, Website, Office365 email, SSL/TLS, Jquery, Mailchimp, Twitter, Outlook, Adobe Typekit, Embed.Ly, Microsoft exchange, Atlassian Domain Verification, Apple Pay, Cloudflare, Google tag manager, Varnish, Html5, Hubspot Meetings Plugin, Stripe Online Payments, GoToWebinar, Node.js, Google font api, Hubspot CMS, Nginx, Hubspot Customer Feedback, Vidyard, Express, Mailgun, Form Html Element, Stripe, Linkedin, Youtube, HubSpot CMS Hub, _("Responsive"), Google Site Verification, _("Online_Store"), Recaptcha, Hubspot, Hubspot Sales, Hubspot Forms, Openresty, Youtube Embed, Javascript, Facebook, AMP</t>
  </si>
  <si>
    <t>Flowbox AB</t>
  </si>
  <si>
    <t>Riddargatan 17 D</t>
  </si>
  <si>
    <t>getflowbox.com</t>
  </si>
  <si>
    <t>Content,Software,Content Creators,Twitter,E-Commerce,Social Media Marketing,Digital Media,Personalization,B2B,Digital Marketing,Social CRM,SaaS,Online Forums,Content Marketing,Advertising,B2C,Video,Product Search,Content Discovery,Marketing,Social Media,Facebook</t>
  </si>
  <si>
    <t>https://app.vainu.io/vainu/prospect/114753112/</t>
  </si>
  <si>
    <t>PHP, Leadinfo, Ziggeo, Teamtailor, Ubuntu, Linkedin Analytics / Advertisement Pixel, Instagram, TLS v1.2, Google analytics, Website, section.io, SSL/TLS, Jquery, Mailchimp, Twitter, Fontfaceobserver, Stimulus, Office 365, Google maps, Snowplow, Cloudflare, Mynewsdesk Newsroom, Yoast SEO, Wordpress, Varnish, Tab Icon, Google tag manager, Html5, Ruby, TLS v1.0, Nginx 1.10, Linkedin Data Partner, Slack, Linkedin Insight Tag, Heroku, Facebook Like Button Plugin, Google font api, Nginx, ActiveCampaign, Heap, Facebook Share Button Plugin, Youtube Embed, Amazon web services, jsDelivr, Form Html Element, Vimeo, Mysql, Alpine.js, _("Responsive"), Google Site Verification, Yoast SEO 17.0, Intercom, Blog, Rackcache, Gmail, Contact Form 7 Wordpress Plugin, Linkedin, Flowbox, Active Campaign, Javascript, Facebook, TLS v1.1</t>
  </si>
  <si>
    <t>Formulate AB</t>
  </si>
  <si>
    <t>Kungsgatan 27</t>
  </si>
  <si>
    <t>formulate.app</t>
  </si>
  <si>
    <t>Artificial Intelligence,B2C,Software,Retail Technology,Product Search,SaaS,Big Data,E-Commerce,Retail,Analytics,Machine Learning</t>
  </si>
  <si>
    <t>https://app.vainu.io/vainu/prospect/1208099/</t>
  </si>
  <si>
    <t>PHP, Webflow, Teamtailor, Ziggeo, Linkedin Analytics / Advertisement Pixel, TLS v1.2, Google analytics, Website, section.io, SSL/TLS, Jquery, Albacross Analytics, Twitter, Albacross, Fontfaceobserver, Stimulus, Adobe Typekit, Embed.Ly, Office 365, Google maps, Apple Pay, Amazon CloudFront, Cloudflare, Tab Icon, Wordpress, Varnish, Google tag manager, Ruby, Html5, Linkedin Data Partner, Linkedin Insight Tag, Weglot, Heroku, Jimdo, Facebook Like Button Plugin, Google font api, Hubspot CMS, FullStory, Nginx, New relic, Shopify, Facebook Share Button Plugin, Youtube Embed, Amazon web services, Form Html Element, Vimeo, OpenResty 1.15, HubSpot CMS Hub, _("Responsive"), Google Site Verification, Intercom, Blog, _("Online_Store"), Rackcache, Hubspot Marketing Hub, Gmail, Hubspot, Openresty, Linkedin, Javascript, Facebook</t>
  </si>
  <si>
    <t>Sv, En, Fr, De</t>
  </si>
  <si>
    <t>Fortnox Aktiebolag</t>
  </si>
  <si>
    <t>Box 427</t>
  </si>
  <si>
    <t>fortnox.se</t>
  </si>
  <si>
    <t>Small and Medium Businesses,CRM,Enterprise Resource Planning (ERP),Sales Automation,B2B,Software,Information Technology,SaaS,Sales</t>
  </si>
  <si>
    <t>https://app.vainu.io/vainu/prospect/1427616/</t>
  </si>
  <si>
    <t>Global Site Tag, PHP, Google adwords, Bootstrap, Font awesome, Instagram, TLS v1.2, Google analytics, Website, Mailchimp, SSL/TLS, Jquery, Twitter, Fortnox, Apsis Marketing, Wistia, Select2, Underscore.js, Spot.Im / Disgus, Tab Icon, Wordpress, Google Conversion, jQuery Migrate, Google tag manager, Html5, TLS v1.0, Slack, wpBakery, Upsales Crm, Fastly, Facebook Like Button Plugin, Google font api, Lightbox, Heroku, Facebook pixel, Nginx, Heap, New relic, Swedish, Livechat, Youtube Embed, Google remarketing, ZOOM, Form Html Element, Bootstrap 4.7, Sitegainer, English, Mysql, Youtube, Vimeo, _("Responsive"), Underscore.js 1.13, WordPress 5, Atlassian Statuspage, Highlight.js, Zendesk, Blog, _("Online_Store"), OWL Carousel, Gmail, Recaptcha, Linkedin, Javascript, Facebook, TLS v1.1</t>
  </si>
  <si>
    <t>Freespee AB</t>
  </si>
  <si>
    <t>Dragarbrunnsgatan 78 D</t>
  </si>
  <si>
    <t>freespee.com</t>
  </si>
  <si>
    <t>Artificial Intelligence,Crowdsourcing,B2B,B2C,Semantic Web,Software,Customer Experience,Information Technology,Lead Management,Real Time,Product Search,Internet,Marketing Automation,SaaS,E-Commerce,Enterprise Software,Machine Learning</t>
  </si>
  <si>
    <t>https://app.vainu.io/vainu/prospect/1465293/</t>
  </si>
  <si>
    <t>PHP, Bootstrap 3.3, Bootstrap, Font awesome, Linkedin Analytics / Advertisement Pixel, Snapengage, Gravatar, TLS v1.2, Google analytics, Website, Mailchimp, SSL/TLS, Jquery, Amazon SES, Twitter, Litespeed, WordPress 5.8, Freespee, Microsoft asp.net, Adobe Typekit, Elementor, Amazon CloudFront, Cloudflare, Tab Icon, Wordpress, Kestrel, Google tag manager, Autopilot, Html5, TLS v1.0, Linkedin Data Partner, Linkedin Insight Tag, AmazonS, Adobe Analytics, Google font api, Heap, Zendesk Chat, Vercel, Amazon web services, Form Html Element, Vimeo, Numberly 1000Mercis, Mysql, Youtube, Hubspot Live Chat, Typekit, Google Site Verification, _("Responsive"), WordPress 5, Highlight.js, Zendesk, Blog, Gmail, Hubspot, Sendgrid, Contentful, Linkedin, Javascript, Facebook, TLS v1.1</t>
  </si>
  <si>
    <t>Froda AB</t>
  </si>
  <si>
    <t>Skeppsbron 20</t>
  </si>
  <si>
    <t>https://froda.se/</t>
  </si>
  <si>
    <t>B2B,Commercial,FinTech,Finance,Information Technology,Credit,Financial Services,Banking,Analytics</t>
  </si>
  <si>
    <t>https://app.vainu.io/vainu/prospect/2269587/</t>
  </si>
  <si>
    <t>Facebook Domain Verification, PHP, Teamtailor, Bootstrap, Doubleclick, Instagram, Gravatar, TLS v1.2, Google analytics, Website, Microsoft IIS, section.io, SSL/TLS, Jquery, Force.com, Twitter, Microsoft IIS 10.0, Microsoft asp.net, Stimulus, Office 365, Yoast SEO, Wordpress, Varnish, Tab Icon, Google tag manager, Html5, Ruby, TLS v1.0, Google Optimize, Heroku, Node.js, Google font api, FullStory, Nginx, Facebook pixel, Express, ZOOM, Form Html Element, Vimeo, Mysql, Linkedin, Youtube, _("Responsive"), Google Site Verification, Intercom, _("Online_Store"), Rackcache, Trustpilot, Gmail, Hubspot, Yoast SEO 14.9, Youtube Embed, Javascript, Facebook, TLS v1.1</t>
  </si>
  <si>
    <t>GetAccept AB</t>
  </si>
  <si>
    <t>Södergatan 13</t>
  </si>
  <si>
    <t>getaccept.se</t>
  </si>
  <si>
    <t>Small and Medium Businesses,API,Virtual Workforce,B2B,B2C,Software,Semantic Web,Product Management,Information Technology,Contact Management,Document Management,Product Search,SaaS,Enterprise,Business Information Systems,Productivity Tools,Enterprise Software</t>
  </si>
  <si>
    <t>https://app.vainu.io/vainu/prospect/2219071/</t>
  </si>
  <si>
    <t>Instagram, TLS v1.2, Website, SSL/TLS, Jquery, Danish, Twitter, Oracle marketing cloud, Amazon CloudFront, Cloudflare, Tab Icon, Google tag manager, Google play, TLS v1.0, Hubspot Rss Feed, French, GoToWebinar, Google font api, Hubspot CMS, Swedish, Norwegian, Amazon web services, Form Html Element, Vimeo, English, Linkedin Sign-in, Youtube, Linkedin, HubSpot CMS Hub, _("Responsive"), Google Site Verification, Hubspot Marketing Hub, Gmail, Hubspot, Hubspot Forms, Youtube Embed, Javascript, Facebook, TLS v1.1</t>
  </si>
  <si>
    <t>GetCompliant 2013 AB</t>
  </si>
  <si>
    <t>Hornsbruksgatan 23b</t>
  </si>
  <si>
    <t>getcompliant.com</t>
  </si>
  <si>
    <t>Franchise,Consumer Applications,Consumer Software,Operating Systems,Software,Restaurants,Information Technology,SaaS,Food and Beverage,Hospitality,Management Information Systems</t>
  </si>
  <si>
    <t>https://app.vainu.io/vainu/prospect/1572791/</t>
  </si>
  <si>
    <t>PHP, Azure Application Insights, Smartyads, TLS v1.2, Google analytics, Website, Microsoft IIS, SSL/TLS, Microsoft IIS 10.0, Afterpay, Microsoft asp.net, Stimulus, Adobe Typekit, Leadfeeder, Tab Icon, Google tag manager, Flash, TLS v1.0, Hotjar, Xhtml, Youtube Embed, jsDelivr, Form Html Element, Azure Edge, _("Responsive"), Google Site Verification, Squarespace, Gmail, Appinsights, Linkedin, Javascript, Facebook, TLS v1.1</t>
  </si>
  <si>
    <t>Goalplan AB</t>
  </si>
  <si>
    <t>goalplan.com</t>
  </si>
  <si>
    <t>CRM,Sales Automation,B2B,Software,Information Technology,SaaS,Management Information Systems,Enterprise,Sales,Enterprise Software</t>
  </si>
  <si>
    <t>https://app.vainu.io/vainu/prospect/1445973/</t>
  </si>
  <si>
    <t>React, Instagram, Intranet, TLS v1.2, Google analytics, Website, SSL/TLS, Jquery, Amazon SES, Twitter, Oracle marketing cloud, Appnexus, UNPKG, Amazon CloudFront, Cloudflare, Sanoma Tracking Pixel, Tab Icon, Wordpress, Google tag manager, TLS v1.0, Hotjar, Slack, Portuguese, AMP, GoToWebinar, Facebook Like Button Plugin, Google font api, Hubspot CMS, Hubspot Email, Adnxs, Vidyard, Amazon web services, Form Html Element, English, Linkedin Sign-in, Youtube, HubSpot CMS Hub, Segment, Google Site Verification, _("Responsive"), Zendesk, Blog, Hubspot Marketing Hub, Gmail, Hubspot, Hubspot Forms, Linkedin, Javascript, Facebook, TLS v1.1</t>
  </si>
  <si>
    <t>Sv, En, Pt</t>
  </si>
  <si>
    <t>Goava Sales Intelligence AB</t>
  </si>
  <si>
    <t>Box 162</t>
  </si>
  <si>
    <t>http://goava.com/</t>
  </si>
  <si>
    <t>Artificial Intelligence,B2B,B2C,Software,Information Technology,SaaS,Analytics,Machine Learning</t>
  </si>
  <si>
    <t>https://app.vainu.io/vainu/prospect/258746722/</t>
  </si>
  <si>
    <t>Global Site Tag, PHP, Apache 2.4, Linkedin Analytics / Advertisement Pixel, Instagram, TLS v1.2, Google analytics, Slick, Website, SSL/TLS, Jquery, Albacross Analytics, jQuery UI 1.9, Google Firebase, Flash video, Microsoft asp.net, Wistia, UNPKG, Amazon CloudFront, Tab Icon, Wordpress, jQuery Migrate, Google tag manager, Html5, Linkedin Data Partner, Xhtml, Google Optimize, Linkedin Insight Tag, Elfsight, Upsales Crm, Google font api, OpenSSL 1.0, Nginx, Facebook pixel, New relic, Youtube Embed, Amazon web services, Slick 1.8, Form Html Element, Vimeo, BidTheatre, jsDelivr, Youtube, Php 5.6, Amazon EC2, Segment, _("Responsive"), Google Site Verification, Intercom, Openssl, Nginx 1.16, Blog, _("Online_Store"), Apache, Gmail, Jquery ui, Hubspot, Linkedin, Active Campaign, Javascript, Facebook, Klarna</t>
  </si>
  <si>
    <t>GreenByte AB</t>
  </si>
  <si>
    <t>Östra Hamngatan 16, vån 4</t>
  </si>
  <si>
    <t>http://www.greenbyte.com/</t>
  </si>
  <si>
    <t>Power Grid,Renewable Energy,Predictive Analytics,Software,Clean Energy,GreenTech,Energy,SaaS,Wind Energy,Solar,Energy Efficiency</t>
  </si>
  <si>
    <t>https://app.vainu.io/vainu/prospect/1415075/</t>
  </si>
  <si>
    <t>Global Site Tag, PHP, Font awesome, Linkedin Analytics / Advertisement Pixel, Instagram, TLS v1.2, Google analytics, Slick, Website, SSL/TLS, Jquery, Amazon SES, Albacross Analytics, Twitter, Campaign Monitor, Pardot, Flash video, Office 365, Leadfeeder, Wistia, Typo3 cms, Atlassian Domain Verification, Tab Icon, Wordpress, Google tag manager, Html5, Google play, Hotjar, Linkedin Data Partner, Linkedin Insight Tag, Google font api, Facebook pixel, Nginx, Netlify, Salesforce marketing cloud, Amazon web services, ZOOM, Form Html Element, Vimeo, Flickr, Linkedin, Youtube, _("Responsive"), Google Site Verification, Intercom, Gmail, Recaptcha, Jobylon, Youtube Embed, Javascript, Facebook</t>
  </si>
  <si>
    <t>Happybooking International AB</t>
  </si>
  <si>
    <t>Kyrkogatan 16</t>
  </si>
  <si>
    <t>LULEÅ</t>
  </si>
  <si>
    <t>happybooking.se/</t>
  </si>
  <si>
    <t>Software,Information Technology,Internet,Reservations,SaaS</t>
  </si>
  <si>
    <t>https://app.vainu.io/vainu/prospect/2238327/</t>
  </si>
  <si>
    <t>Global Site Tag, PHP, Google adwords, Google Shopping, MasterCard, Doubleclick, Help Scout, TLS v1.2, Google analytics, Website, Microsoft IIS, Office365 email, SSL/TLS, Jquery, Mailchimp, Twitter, Alexa Analytics Certified, Outlook, Microsoft asp.net, Adobe Typekit, Office 365, Microsoft exchange, Optimizely, Apple App Store, Twitter Ads, Microsoft ASP.NET 4.0, Google Ads Conversion Tracking, Tab Icon, Wordpress, Google Conversion, Google tag manager, Flash, Google play, Chatlio, Scorecard Research, Hotjar, Slack, Pinterest, Adobe Analytics, Facebook pixel, Swedish, Calendly, Mailgun, Youtube Embed, Google remarketing, Form Html Element, English, Comscore, Azure Edge, Youtube, _("Responsive"), TripAdvisor, Blog, Recaptcha, Linkedin, Clicktale, Active Campaign, Javascript, Facebook, Microsoft IIS 8.5</t>
  </si>
  <si>
    <t>Sv, En, Pl</t>
  </si>
  <si>
    <t>Hencol AB</t>
  </si>
  <si>
    <t>Nedre Långgatan 48, 1tr</t>
  </si>
  <si>
    <t>GREBBESTAD</t>
  </si>
  <si>
    <t>hencol.com</t>
  </si>
  <si>
    <t>Artificial Intelligence,Internet of Things,Software,Agriculture,Supply Chain Management,Information Technology,AgTech,SaaS,Sustainability,Farming</t>
  </si>
  <si>
    <t>https://app.vainu.io/vainu/prospect/111634649/</t>
  </si>
  <si>
    <t>Global Site Tag, PHP, Bootstrap, Font awesome, Gravatar, TLS v1.2, Google analytics, Website, Microsoft IIS, SSL/TLS, Jquery, Microsoft IIS 10.0, Mailchimp, Twitter, Microsoft asp.net, Office 365, Select2, MailChimp 4.7, Crazy egg, Yoast SEO, Wordpress, Tab Icon, Ionicons, Flash, Html5, jQuery Migrate, Google tag manager, Yoast SEO 13.5, Modernizr, Flickity, Pinterest, wpBakery, Google font api, Swedish, Facebook Share Button Plugin, Form Html Element, Vimeo, English, Mysql, Youtube, _("Responsive"), Google Site Verification, WordPress 5, Rollbar, Intercom, Apache, Gmail, Recaptcha, Contact Form 7 Wordpress Plugin, Linkedin, Javascript, Facebook</t>
  </si>
  <si>
    <t>Hydro66 Svenska AB</t>
  </si>
  <si>
    <t>Hydrogränd 2</t>
  </si>
  <si>
    <t>BODEN</t>
  </si>
  <si>
    <t>hydro66.com</t>
  </si>
  <si>
    <t>Artificial Intelligence,Data Center,Operating Systems,Cloud Management,Information Technology,Cloud Computing,Web Hosting,PaaS,Infrastructure,SaaS,Private Cloud,Cloud Data Services,Sustainability,Cloud Infrastructure,IaaS,Machine Learning</t>
  </si>
  <si>
    <t>https://app.vainu.io/vainu/prospect/113113865/</t>
  </si>
  <si>
    <t>PHP, Font awesome, Instagram, TLS v1.2, Google analytics, Slick, Website, SSL/TLS, Tawk.To Chat, Jquery, Mailchimp, Twitter, Flash video, Adobe Typekit, Wistia, BugHerd, Google maps, Mixpanel Analytics, Cloudflare, Tab Icon, Wordpress, jQuery Migrate, Google tag manager, TLS v1.0, Slack, Google Optimize, Google font api, Gravity Forms 2.4, Angularjs, Zendesk Chat, Cookiebot, Form Html Element, jQuery UI 1.12, Mysql, Linkedin, Youtube, _("Responsive"), Tapfiliate, Gmail, Recaptcha, Jquery ui, Gravity Forms, Youtube Embed, Active Campaign, Javascript, Facebook, TLS v1.1</t>
  </si>
  <si>
    <t>IAMIP Sverige AB</t>
  </si>
  <si>
    <t>Ursviksvägen 127a</t>
  </si>
  <si>
    <t>iamip.se</t>
  </si>
  <si>
    <t>Legal Tech,Software,Information Services,Information Technology,Document Management,Internet,SaaS,Legal</t>
  </si>
  <si>
    <t>https://app.vainu.io/vainu/prospect/1343950/</t>
  </si>
  <si>
    <t>PHP, Linkedin Analytics / Advertisement Pixel, TLS v1.2, Website, Office365 email, SSL/TLS, Jquery, Twitter, Outlook, Office 365, Google maps, Microsoft exchange, Tab Icon, Wordpress, Google tag manager, Linkedin Data Partner, Linkedin Insight Tag, GoToWebinar, Google font api, Hubspot CMS, Mailgun, Form Html Element, Vimeo, _("Responsive"), TLS problem, Intercom, Hubspot, Hubspot Forms, Linkedin, Javascript, Facebook</t>
  </si>
  <si>
    <t>INVONO AB</t>
  </si>
  <si>
    <t>Redaregatan 48</t>
  </si>
  <si>
    <t>HELSINGBORG</t>
  </si>
  <si>
    <t>invono.se</t>
  </si>
  <si>
    <t>Software,Finance,Information Technology,SaaS,Financial Services,Legal,Enterprise</t>
  </si>
  <si>
    <t>https://app.vainu.io/vainu/prospect/112503865/</t>
  </si>
  <si>
    <t>PHP, Nginx 1.17, Apache 2.4, Ubuntu, Instagram, Help Scout, TLS v1.2, Gravatar, Website, Office365 email, SSL/TLS, Jquery, Prototype, Outlook, Office 365, Google maps, Atlassian Domain Verification, Microsoft exchange, Tab Icon, Wordpress, Google tag manager, Html5, Hotjar, Xhtml, Nginx, New relic, Cookiebot, Form Html Element, Mysql, Youtube, _("Responsive"), Google Site Verification, Apache, Recaptcha, Gravity Forms, Openresty, Javascript, Facebook</t>
  </si>
  <si>
    <t>Sv, nn, En</t>
  </si>
  <si>
    <t>ITKoncept Sverige AB</t>
  </si>
  <si>
    <t>Ringvägen 56A</t>
  </si>
  <si>
    <t>SALTSJÖBADEN</t>
  </si>
  <si>
    <t>itkoncept.se</t>
  </si>
  <si>
    <t>Brand Marketing,Information Technology,Web Hosting,Staffing Agency,SaaS,Consulting</t>
  </si>
  <si>
    <t>https://app.vainu.io/vainu/prospect/1451601/</t>
  </si>
  <si>
    <t>PHP, Bootstrap, Font awesome, Force.com, Website, Google analytics, Alexa Analytics Certified, Office365 email, Microsoft IIS, Jquery, Twitter, Outlook, Office 365, Microsoft exchange, Atlassian Domain Verification, LogMeIn, Tab Icon, Wordpress, jQuery Migrate, Google tag manager, Flash, Html5, Slack, Pinterest, Google font api, Detectify, Form Html Element, Mysql, _("Responsive"), Google Site Verification, WordPress 5, Monsterinsights, Contact Form 7 Wordpress Plugin, Jquery ui, Linkedin, Javascript, Facebook, Microsoft IIS 8.5</t>
  </si>
  <si>
    <t>InExchange Factorum AB</t>
  </si>
  <si>
    <t>Box 133</t>
  </si>
  <si>
    <t>SKÖVDE</t>
  </si>
  <si>
    <t>inexchange.se</t>
  </si>
  <si>
    <t>Payments,Software,FinTech,Information Technology,Financial Services</t>
  </si>
  <si>
    <t>https://app.vainu.io/vainu/prospect/1312375/</t>
  </si>
  <si>
    <t>PHP, Teamtailor, Ziggeo, Underscore.js 1.8, Font awesome, Linkedin Analytics / Advertisement Pixel, Intranet, Bootstrap, TLS v1.2, Google analytics, Website, Microsoft IIS, section.io, SSL/TLS, Jquery, Twitter, Oracle marketing cloud, Fontfaceobserver, Microsoft asp.net, Stimulus, Google maps, Underscore.js, Microsoft IIS 7.5, Microsoft ASP.NET 4.0, Tab Icon, Wordpress, Varnish, jQuery Migrate, Google tag manager, Html5, Ruby, Modernizr, Linkedin Data Partner, Hotjar, Linkedin Insight Tag, Sustainability Report, Facebook Page Plugin, Fastly, Facebook Like Button Plugin, Google font api, Heroku, Facebook pixel, Nginx, Facebook Share Button Plugin, Youtube Embed, Form Html Element, Vimeo, English, Mysql, Bootstrap 4.0, _("Responsive"), Google Site Verification, Backbone.js, Atlassian Statuspage, Zendesk, GSAP, Rackcache, Gmail, Recaptcha, Sendgrid, Linkedin, Javascript, Facebook, Nginx 1.15</t>
  </si>
  <si>
    <t>Infobaleen AB</t>
  </si>
  <si>
    <t>Linnaeus väg 24</t>
  </si>
  <si>
    <t>UMEÅ</t>
  </si>
  <si>
    <t>infobaleen.com</t>
  </si>
  <si>
    <t>Artificial Intelligence,Predictive Analytics,B2C,Software,Information Technology,SaaS,Big Data,E-Commerce,Analytics,Machine Learning</t>
  </si>
  <si>
    <t>https://app.vainu.io/vainu/prospect/1264178/</t>
  </si>
  <si>
    <t>Vuetify, Ubuntu, Bootstrap, Font awesome, Google app engine, TLS v1.2, Google analytics, Website, Mailchimp, SSL/TLS, Jquery, Requirejs, Google Frontend, Tab Icon, Google tag manager, Nuxt.js, Html5, TLS v1.0, Xhtml, Slack, Mindmatrix, Node.js, Google font api, Nginx, Express, Javascript, Microsoft Word, Form Html Element, jsDelivr, _("Responsive"), Google Site Verification, SparkPost, Google Cloud, Gmail, Linkedin, Vue.js, Nginx 1.18, TLS v1.1</t>
  </si>
  <si>
    <t>Infobric AB</t>
  </si>
  <si>
    <t>infobric.se</t>
  </si>
  <si>
    <t>Renewable Energy,Electronics,Software,Manufacturing,Energy,SaaS,Oil and Gas</t>
  </si>
  <si>
    <t>https://app.vainu.io/vainu/prospect/1300437/</t>
  </si>
  <si>
    <t>PHP, Vkontakte, Font awesome, TLS v1.2, Google analytics, Slick, Microsoft IIS, Office365 email, SSL/TLS, Jquery, Website, Twitter, Tumblr, Swiper Slider, Outlook, Microsoft asp.net, Adobe Typekit, Elementor, Cowboy, Atlassian Domain Verification, Microsoft exchange, WooCommerce 4.4, Microsoft ASP.NET 4.0, Tab Icon, Wordpress, Google tag manager, Html5, Google play, TLS v1.0, Microsoft IIS 8.5, Upsales Crm, Heroku, Google font api, Woocommerce, Swedish, Zendesk Chat, Progress Sitefinity, New relic, Finnish, Norwegian, Youtube Embed, Google Dynamic Remarketing, Microsoft azure, Whatsapp Website Icon, Form Html Element, Vimeo, Mysql, Flickr, Youtube, Google Plus, English, Typekit, Google Site Verification, _("Responsive"), Highlight.js, Zendesk, Ukrainian, _("Online_Store"), Apache, Recaptcha, Linkedin, Javascript, Facebook, TLS v1.1</t>
  </si>
  <si>
    <t>Infrakit AB</t>
  </si>
  <si>
    <t>Karlsbergsvägen 11</t>
  </si>
  <si>
    <t>infrakit.com</t>
  </si>
  <si>
    <t>https://app.vainu.io/vainu/prospect/1543947346/</t>
  </si>
  <si>
    <t>Global Site Tag, PHP, Bootstrap, Paytrail, Gravatar, TLS v1.2, Google analytics, Website, Office365 email, SSL/TLS, Jquery, Mailchimp, Twitter, Dutch, Outlook, WP Engine, Adobe Typekit, Office 365, Microsoft exchange, Atlassian Domain Verification, Apple App Store, Yoast SEO 12.7, Yoast SEO, Wordpress, Tab Icon, jQuery Migrate, Flash, Html5, Google tag manager, Google play, TLS v1.0, Nginx 1.10, German, French, Google font api, Nginx, Gravity Forms 2.4, Popper, Finnish, Swedish, Norwegian, Amazon web services, Keen.Io Analytics, Form Html Element, English, Mysql, Linkedin, Youtube, _("Responsive"), Google Site Verification, GrooveHQ, Atlassian, Popper 1.14, Recaptcha, Bugsnag, Sr, Gravity Forms, Youtube Embed, Javascript, Facebook, TLS v1.1</t>
  </si>
  <si>
    <t>Sv, No, En, De, Nl, Fr, Es, nn, Fi</t>
  </si>
  <si>
    <t>Insurello AB</t>
  </si>
  <si>
    <t>Luntmakargatan 26</t>
  </si>
  <si>
    <t>insurello.se</t>
  </si>
  <si>
    <t>Insurance,FinTech,Information Technology,Financial Services,InsurTech</t>
  </si>
  <si>
    <t>https://app.vainu.io/vainu/prospect/113242844/</t>
  </si>
  <si>
    <t>PHP, Teamtailor, Ziggeo, Doubleclick, Font awesome, Bootstrap, Instagram, Gravatar, TLS v1.2, Google analytics, Website, Office365 email, section.io, SSL/TLS, Jquery, Twitter, Outlook, Oracle marketing cloud, Fontfaceobserver, Stimulus, Google maps, Microsoft exchange, Amazon CloudFront, Tab Icon, Wordpress, Varnish, Ruby, Autopilot, Html5, Typeform, Taboola, TLS v1.0, Hotjar, Facebook Page Plugin, Heroku, Facebook Like Button Plugin, Google font api, Adnxs, Nginx, Facebook pixel, Facebook Share Button Plugin, Youtube Embed, Amazon web services, Form Html Element, Vimeo, Sitegainer, Mysql, Youtube, Segment, _("Responsive"), Google Site Verification, WordPress 5, Zendesk, CookieYes, Hubspot Analytics, _("Online_Store"), Rackcache, Trustpilot, Hubspot, WordPress 5.4, Sendgrid, Linkedin, Active Campaign, Javascript, Facebook, TLS v1.1</t>
  </si>
  <si>
    <t>Itiviti Group AB</t>
  </si>
  <si>
    <t>Box 7742</t>
  </si>
  <si>
    <t>https://www.itiviti.com/</t>
  </si>
  <si>
    <t>Software,FinTech,Finance,Information Technology,Financial Services,Trading Platform</t>
  </si>
  <si>
    <t>https://app.vainu.io/vainu/prospect/1565131/</t>
  </si>
  <si>
    <t>PHP, Teamtailor, TLS v1.2, Website, SSL/TLS, Jquery, Amazon SES, Twitter, Pardot, Salesforce, Wistia, Tab Icon, Google tag manager, Slack, GlobalSign, Salesforce marketing cloud, Facebook Share Button Plugin, Amazon web services, Form Html Element, Youtube, _("Responsive"), Extranet, Zendesk, Apache, Gmail, Linkedin, Javascript, Facebook</t>
  </si>
  <si>
    <t>Sv, Ja, En, Zh</t>
  </si>
  <si>
    <t>Jetshop AB</t>
  </si>
  <si>
    <t>Ullevig. 19</t>
  </si>
  <si>
    <t>https://jetshop.se/</t>
  </si>
  <si>
    <t>B2B,B2C,Software,Retail Technology,Product Search,Internet,Business Development,E-Commerce Platforms,SaaS,E-Commerce,Retail</t>
  </si>
  <si>
    <t>https://app.vainu.io/vainu/prospect/1580253/</t>
  </si>
  <si>
    <t>PHP, MasterCard, Svea Webpay, Website, Google analytics, section.io, Jquery, Office 365, Mobilepay, Wordpress, Varnish, Google font api, Hubspot CMS, Facebook pixel, Norwegian, English, Linkedin Sign-in, Google Plus, WordPress 5, Monsterinsights, Atlassian Statuspage, Yoast SEO 16.6, AMP, Resurs Bank Instalment/Invoice, Global Site Tag, Teamtailor, Instagram, TLS v1.2, Office365 email, Outlook, Stimulus, Microsoft exchange, Atlassian Domain Verification, Cloudflare, Google tag manager, Heroku, Fastly, GlobalSign, Nginx, Swedish, Cookiebot, Vidyard, Facebook Share Button Plugin, Vimeo, HubSpot CMS Hub, _("Responsive"), Google Site Verification, Hubspot Analytics, Multicase, Recaptcha, Linkedin, Facebook, Findify, Ziggeo, React, Twitter, Wordpress super cache, Google maps, Yoast SEO, Tab Icon, jQuery Migrate, American Express, Mysql, Blog, _("Online_Store"), Hubspot Marketing Hub, Hubspot Ads Pixel, Bootstrap, Force.com, SSL/TLS, Fontfaceobserver, Ruby, Html5, Hotjar, Bootstrap 4.3, GoToWebinar, Facebook Like Button Plugin, Form Html Element, Youtube, Zendesk, Hubspot Leadflows, Rackcache, Hubspot, Hubspot Forms, Youtube Embed, Javascript, Klarna</t>
  </si>
  <si>
    <t>Jibber AB</t>
  </si>
  <si>
    <t>Västergatan 22</t>
  </si>
  <si>
    <t>jibber.se</t>
  </si>
  <si>
    <t>Software,Messaging,Information Technology,Customer Service,SaaS</t>
  </si>
  <si>
    <t>https://app.vainu.io/vainu/prospect/113292181/</t>
  </si>
  <si>
    <t>Global Site Tag, Bootstrap 3.3, Ubuntu, Bootstrap, Instagram, TLS v1.2, Google analytics, Slick, Office365 email, SSL/TLS, Jquery, Website, Albacross Analytics, Outlook, Office 365, Microsoft exchange, Apple App Store, Tab Icon, Google tag manager, Google play, Nginx 1.10, Node.js, Google font api, Facebook pixel, Nginx, Express, jsDelivr, Form Html Element, _("Responsive"), Google Site Verification, Blog, Linkedin, Javascript, Facebook</t>
  </si>
  <si>
    <t>Jobbile AB</t>
  </si>
  <si>
    <t>Löparvägen 14</t>
  </si>
  <si>
    <t>HINDÅS</t>
  </si>
  <si>
    <t>jobbile.com</t>
  </si>
  <si>
    <t>Virtual Workforce,Small and Medium Businesses,Consumer Software,Software,Information Technology,Task Management,Business Development,SaaS,Apps,Mobile Apps,Productivity Tools,Management Information Systems</t>
  </si>
  <si>
    <t>https://app.vainu.io/vainu/prospect/1324967/</t>
  </si>
  <si>
    <t>PHP, Google adwords, Google Shopping, Ubuntu, Doubleclick, TLS v1.2, Google analytics, Website, SSL/TLS, Jquery, Flash video, Wistia, jQuery UI 1.8, Google Ads Conversion Tracking, Tab Icon, Google tag manager, Google Conversion, Google play, Nginx 1.10, Xhtml, Facebook Like Button Plugin, Google font api, Facebook pixel, Nginx, Google remarketing, Form Html Element, Youtube, _("Responsive"), Gmail, Jquery ui, Linkedin, Javascript, Facebook</t>
  </si>
  <si>
    <t>Jobtip AB</t>
  </si>
  <si>
    <t>Otterhällegatan 1, 3tr</t>
  </si>
  <si>
    <t>jobtip.com</t>
  </si>
  <si>
    <t>Career Planning,Software,Information Technology,Social Recruiting,Human Resources,Internet,SaaS,Employment,Recruiting</t>
  </si>
  <si>
    <t>https://app.vainu.io/vainu/prospect/2233234/</t>
  </si>
  <si>
    <t>Global Site Tag, Facebook Domain Verification, Google adwords, PHP, Vkontakte, Underscore.js 1.8, Linkedin Analytics / Advertisement Pixel, Instagram, TLS v1.2, Google analytics, Website, Mailchimp, SSL/TLS, Jquery, Tumblr, Nginx 1.11, Twitter, Swiper Slider, Wp rocket, SendinBlue, WP Engine, Adobe Typekit, Elementor, Underscore.js, Tab Icon, Wordpress, jQuery Migrate, Google tag manager, Autopilot, Html5, TLS v1.0, Linkedin Data Partner, Linkedin Insight Tag, Jobtip , Google font api, Facebook pixel, Nginx, Youtube Embed, Form Html Element, Whatsapp Website Icon, Vimeo, Mysql, Youtube, Google Plus, Segment, Typekit, Google Site Verification, _("Responsive"), Gmail, Recaptcha, Hubspot, Sendgrid, Linkedin, Javascript, Facebook, TLS v1.1</t>
  </si>
  <si>
    <t>Jobylon AB</t>
  </si>
  <si>
    <t>Sankt Eriksgatan 63B</t>
  </si>
  <si>
    <t>www.jobylon.com</t>
  </si>
  <si>
    <t>Software,Information Technology,Social Recruiting,Human Resources,Internet,SaaS,Employment,Recruiting</t>
  </si>
  <si>
    <t>https://app.vainu.io/vainu/prospect/1577989/</t>
  </si>
  <si>
    <t>PHP, Google adwords, Snapengage, Website, Google analytics, Quantserve, Jquery, Customer.io, Quanticmind / Insidevault, Office 365, Amazon CloudFront, Crazy egg, Satismeter, Wordpress, Scorecard Research, Google font api, Zeta, Hubspot CMS, Javascript, Keen.Io Analytics, English, Linkedin Sign-in, Sprinklr Social Care / Getsatisfaction, Google Plus, Clicktale, Active Campaign, AMP, Atatus, Instagram, TLS v1.2, Foxmetrics, Errorception, Mailchimp, Evergage / Mybuys / Veruta, Appcues, elevio, Cloudflare, Google tag manager, Extole, Klaviyo Marketing, Chartbeat, Qualaroo, Heroku, Elfsight, Improvely, Swedish, Amazon web services, Vimeo, HubSpot CMS Hub, _("Responsive"), Google Site Verification, Rollbar, Intercom, Referral Saasquatch, Glassdoor Job Search, Hubspot Analytics, Tapstream, Gmail, Linkedin, Facebook, TLS v1.1, Lytics, WebEngage, Django, Alexa Analytics Certified, Amplitude, Amazon SES, Twitter, Olark, Drip Ecrm, Supporthero Help Center, Mixpanel Analytics, Tab Icon, Google Conversion, Adroll, Slack, Matomo, Livechat, Liveintent / Mojn Analytics, Perfect Audience, Comscore, Blog, _("Online_Store"), Hubspot Marketing Hub, Wootric Nps, Google remarketing, Blueshift, Facebook Domain Verification, Doubleclick, Jobvite, Hittail Keyword Analytics Tool, Spinnakr, SSL/TLS, Chameleon, Python, BugHerd, MouseStats, Html5, TLS v1.0, Oracle Bronto, Modernizr, Mouseflow, GoToWebinar, Gauges, FullStory, Heap, Form Html Element, Taplytics, Talkable / Curebit, User Voice, Jobylon, Hubspot, Hubspot Forms, Yandex Metrica, Gosquared Analytics, Bugsnag</t>
  </si>
  <si>
    <t>Jojka Communications AB</t>
  </si>
  <si>
    <t>MÄSTER SAMUELSGATAN 36</t>
  </si>
  <si>
    <t>JOHANNESHOV</t>
  </si>
  <si>
    <t>https://jojka.com/</t>
  </si>
  <si>
    <t>CRM,API,Artificial Intelligence,Personalization,Advertising,B2C,Software,Information Technology,Local Business,Customer Engagement,Product Search,Real Time,Marketing Automation,Marketing,SaaS,Customer Service,E-Commerce,Email Marketing</t>
  </si>
  <si>
    <t>https://app.vainu.io/vainu/prospect/1225224/</t>
  </si>
  <si>
    <t>PHP, Bootstrap, Gravatar, TLS v1.2, Google analytics, Slick, Website, Chart.js, SSL/TLS, Jquery, Albacross Analytics, Leadfeeder, Yoast SEO, Wordpress, Tab Icon, jQuery Migrate, Modernizr, SweetAlert, Nginx 1.10, Nginx, Swedish, Form Html Element, English, Yoast SEO 17.1, Mysql, Linkedin, _("Responsive"), Google Site Verification, Pipedrive, Gravity Forms 2.5, Blog, Apache, Gmail, Gravity Forms, Choices, Youtube Embed, Javascript, Facebook</t>
  </si>
  <si>
    <t>Knowly AB</t>
  </si>
  <si>
    <t>Krokslätts Torg 3</t>
  </si>
  <si>
    <t>MÖLNDAL</t>
  </si>
  <si>
    <t>knowly.com</t>
  </si>
  <si>
    <t>EdTech,Personal Development,Training,Software,Gamification,Knowledge Management,Education,Skill Assessment,SaaS,E-Learning,Corporate Training</t>
  </si>
  <si>
    <t>https://app.vainu.io/vainu/prospect/1338128/</t>
  </si>
  <si>
    <t>Global Site Tag, Webflow, Linkedin Analytics / Advertisement Pixel, Instagram, Intranet, Help Scout, Google analytics, TLS v1.2, Website, SSL/TLS, Jquery, Mailchimp, Adobe Typekit, Embed.Ly, Tab Icon, Wordpress, Varnish, Google tag manager, Hotjar, Linkedin Data Partner, Linkedin Insight Tag, AmazonS, Heroku, Google font api, Facebook pixel, Nginx, Form Html Element, Vimeo, Youtube, Linkedin, _("Responsive"), Google Site Verification, Blog, Gmail, Hubspot, Openresty, Youtube Embed, Javascript, Facebook</t>
  </si>
  <si>
    <t>Kognity AB</t>
  </si>
  <si>
    <t>Linnégatan 87D</t>
  </si>
  <si>
    <t>kognity.com</t>
  </si>
  <si>
    <t>EdTech,Content,Edutainment,Software,Knowledge Management,Education,SaaS,E-Learning</t>
  </si>
  <si>
    <t>https://app.vainu.io/vainu/prospect/1636787/</t>
  </si>
  <si>
    <t>PHP, Linkedin Analytics / Advertisement Pixel, Instagram, Gravatar, TLS v1.2, Google analytics, Website, SSL/TLS, Jquery, Twitter, Pardot, Flash video, Salesforce, Cloudflare, Leadoo, Tab Icon, Wordpress, jQuery Migrate, Google tag manager, Flash, Lever, TLS v1.0, Hotjar, Linkedin Data Partner, Slack, Google Optimize, Linkedin Insight Tag, AMP, Heroku, Google font api, lodash, Catapult Cookie Consent, Facebook pixel, Nginx, New relic, Salesforce marketing cloud, Detectify, Youtube Embed, Form Html Element, Vimeo, English, Mysql, Flickr, Moment.js, _("Responsive"), Google Site Verification, Divi, Intercom, Blog, Gmail, Contact Form 7 Wordpress Plugin, Linkedin, Javascript, Facebook, TLS v1.1</t>
  </si>
  <si>
    <t>Konsolidator AB</t>
  </si>
  <si>
    <t>Råsta Strandväg 13 C</t>
  </si>
  <si>
    <t>konsolidator.com</t>
  </si>
  <si>
    <t>https://app.vainu.io/vainu/prospect/1781504370/</t>
  </si>
  <si>
    <t>Konstrukt AB</t>
  </si>
  <si>
    <t>Andra Långgatan 19, 7 tr</t>
  </si>
  <si>
    <t>konstrukt.se</t>
  </si>
  <si>
    <t>Small and Medium Businesses,Software,Information Technology,SaaS,Business Information Systems,Management Information Systems</t>
  </si>
  <si>
    <t>https://app.vainu.io/vainu/prospect/112063422/</t>
  </si>
  <si>
    <t>PHP, Hammer.js, Vkontakte, TLS v1.2, Website, Office365 email, SSL/TLS, Jquery, Tumblr, Outlook, Office 365, Microsoft exchange, Viber Public Chat, Tilda, Tab Icon, Google tag manager, Viber Share Button, Crisp Chat, TLS v1.0, Qzone, Hotjar, Google font api, Tilda Cms, Nginx, Topmailru, Microsoft azure, Form Html Element, Whatsapp Website Icon, Vimeo, English, Linkedin, _("Responsive"), Google Site Verification, Zendesk, _("Online_Store"), Youtube Embed, Javascript, Facebook, TLS v1.1</t>
  </si>
  <si>
    <t>LEARNSTER AB</t>
  </si>
  <si>
    <t>TORSGATAN, 26</t>
  </si>
  <si>
    <t>https://learnster.se/</t>
  </si>
  <si>
    <t>EdTech,Training,Software,Information Technology,Education,Skill Assessment,SaaS,E-Learning,Corporate Training</t>
  </si>
  <si>
    <t>https://app.vainu.io/vainu/prospect/114886883/</t>
  </si>
  <si>
    <t>PHP, Teamtailor, Ziggeo, Font awesome, TLS v1.2, Google analytics, Website, section.io, SSL/TLS, Jquery, Afterpay, Twitter, Fontfaceobserver, Stimulus, Adobe Typekit, Embed.Ly, Google maps, Osano, Tab Icon, Google tag manager, Varnish, Ruby, Html5, Google play, TLS v1.0, Xhtml, AMP, Heroku, GoToWebinar, Facebook Like Button Plugin, Google font api, Hubspot CMS, Vidyard, Facebook Share Button Plugin, Youtube Embed, Form Html Element, Vimeo, Youtube, _("Responsive"), Google Site Verification, MaxMind, Cookie Consent By Insites, Rackcache, Squarespace, Gmail, Hubspot, Hubspot Forms, Linkedin, Javascript, Facebook, TLS v1.1</t>
  </si>
  <si>
    <t>Leadenhancer Sweden AB</t>
  </si>
  <si>
    <t>Box 404 Renstiernas gata 23</t>
  </si>
  <si>
    <t>leadenhancer.com</t>
  </si>
  <si>
    <t>Advertising,B2B,B2C,Software,Lead Generation,Digital Marketing,Marketing Automation,Marketing,SaaS,Analytics</t>
  </si>
  <si>
    <t>https://app.vainu.io/vainu/prospect/1609844/</t>
  </si>
  <si>
    <t>Bootstrap, Font awesome, React, Smartyads, TLS v1.2, Website, Jetty 9.4, SSL/TLS, Jquery, Twitter, Google maps, Polyfill, Tab Icon, Google tag manager, Jetty, TLS v1.0, Slack, Google font api, Java, lodash, Wix Ecommerce, Pepyaka 1.19, animate.css, Wix, Angularjs, Pepyaka, Whatsapp Website Icon, Form Html Element, _("Responsive"), Google Site Verification, _("Online_Store"), Gmail, Linkedin, Javascript, Facebook, TLS v1.1</t>
  </si>
  <si>
    <t>LeanOn AB</t>
  </si>
  <si>
    <t>Box 1505</t>
  </si>
  <si>
    <t>leanon.se</t>
  </si>
  <si>
    <t>Software,FinTech,Information Services,Information Technology,Financial Services,Business Information Systems</t>
  </si>
  <si>
    <t>https://app.vainu.io/vainu/prospect/1467977/</t>
  </si>
  <si>
    <t>Global Site Tag, PHP, Bootstrap, Font awesome, Instagram, Gravatar, TLS v1.2, Google analytics, Website, Office365 email, SSL/TLS, Jquery, Mailchimp, Outlook, Office 365, Google maps, Microsoft exchange, Yoast SEO, Wordpress, Tab Icon, jQuery Migrate, Google tag manager, Html5, TLS v1.0, WordPress 5.7, Google font api, Amazon web services, Form Html Element, Mysql, _("Responsive"), WordPress 5, Apache, Yoast SEO 16.2, Linkedin, Javascript, Facebook, TLS v1.1</t>
  </si>
  <si>
    <t>Learnifier AB</t>
  </si>
  <si>
    <t>Kivra: 556701-2322</t>
  </si>
  <si>
    <t>learnifier.com</t>
  </si>
  <si>
    <t>Virtual Workforce,EdTech,Training,Software,Gamification,Education,Skill Assessment,SaaS,E-Learning,Corporate Training</t>
  </si>
  <si>
    <t>https://app.vainu.io/vainu/prospect/1310890/</t>
  </si>
  <si>
    <t>Global Site Tag, Caddy, Facebook Domain Verification, PHP, Teamtailor, Ziggeo, Intranet, TLS v1.2, Google analytics, Website, section.io, SSL/TLS, Jquery, Amazon SES, Twitter, Fontfaceobserver, Stimulus, Adobe Typekit, Google maps, Mixpanel Analytics, Amazon CloudFront, Cloudflare, Yoast SEO, Wordpress, Varnish, Tab Icon, Google tag manager, Google play, Adroll, Ruby, TLS v1.0, Go, AMP, Facebook Page Plugin, GoToWebinar, Facebook Like Button Plugin, Google font api, Heroku, Hubspot CMS, Nginx, Swedish, Zendesk Chat, Yoast SEO 17.2, Vidyard, Facebook Share Button Plugin, Youtube Embed, Amazon web services, Form Html Element, Vimeo, English, Mysql, Linkedin Sign-in, Youtube, HubSpot CMS Hub, Typekit, Google Site Verification, _("Responsive"), Rollbar, Zendesk, Glassdoor Job Search, Blog, Rackcache, Hubspot Marketing Hub, Gmail, Hubspot, Wildfly, Hubspot Forms, Uikit, Linkedin, Javascript, Facebook, TLS v1.1</t>
  </si>
  <si>
    <t>Leasify AB</t>
  </si>
  <si>
    <t>Blekholmstorget 30 F</t>
  </si>
  <si>
    <t>https://leasify.se/</t>
  </si>
  <si>
    <t>B2B,Software,Information Technology,Internet,Leasing,SaaS,Financial Services</t>
  </si>
  <si>
    <t>https://app.vainu.io/vainu/prospect/1211036/</t>
  </si>
  <si>
    <t>PHP, Vkontakte, SE, Font awesome, React, Smartyads, TLS v1.2, Website, Slick, Office365 email, SSL/TLS, Jquery, Tumblr, Swiper Slider, Laravel, Outlook, Nette framework, SweetAlert2, Elementor, Google maps, Microsoft exchange, Cloudflare, Tab Icon, Wordpress, jQuery Migrate, Google tag manager, Html5, Livewire, TLS v1.0, Slack, SweetAlert2 9, Google font api, Woocommerce, New relic, Mailgun, Youtube Embed, jsDelivr, Form Html Element, Whatsapp Website Icon, Vimeo, Mysql, Alpine.js, Google Plus, Hubspot Live Chat, _("Responsive"), Google Site Verification, Hubspot Analytics, Elementor 3.4, Hubspot, Bugsnag, Hubspot Forms, Linkedin, Vue.js, Javascript, Facebook, TLS v1.1</t>
  </si>
  <si>
    <t>Leeroy Group AB</t>
  </si>
  <si>
    <t>Landsvägsallén 4</t>
  </si>
  <si>
    <t>SUNDSVALL</t>
  </si>
  <si>
    <t>leeroy.se</t>
  </si>
  <si>
    <t>Franchise,CRM,Small and Medium Businesses,B2C,Software,Restaurants,Information Technology,Point of Sale,SaaS,Food and Beverage,Hospitality,Management Information Systems</t>
  </si>
  <si>
    <t>https://app.vainu.io/vainu/prospect/1217610/</t>
  </si>
  <si>
    <t>PHP, Teamtailor, Ziggeo, Font awesome, Instagram, Gravatar, TLS v1.2, Google analytics, Website, section.io, SSL/TLS, Jquery, Twitter, WP Engine, Fontfaceobserver, Stimulus, Google maps, Cloudflare, Tab Icon, Wordpress, Varnish, jQuery Migrate, Google tag manager, Ruby, Postmark, TLS v1.0, Heroku, GoToWebinar, Facebook Like Button Plugin, Google font api, Hubspot CMS, Nginx, Facebook Share Button Plugin, Amazon web services, Form Html Element, Vimeo, Mysql, Linkedin, Youtube, Hubspot Live Chat, HubSpot CMS Hub, _("Responsive"), Google Site Verification, Hubspot Leadflows, Hubspot Analytics, Rackcache, Gmail, Hubspot, Hubspot Forms, Youtube Embed, Javascript, Facebook, TLS v1.1</t>
  </si>
  <si>
    <t>Lime Technologies Sweden AB</t>
  </si>
  <si>
    <t>Sankt Lars väg 46</t>
  </si>
  <si>
    <t>lime-technologies.se</t>
  </si>
  <si>
    <t>CRM,B2B,Software,Commercial,SQL,Information Technology,SaaS,Salesforce</t>
  </si>
  <si>
    <t>https://app.vainu.io/vainu/prospect/1341217/</t>
  </si>
  <si>
    <t>PHP, Xregexp, Bootstrap, MasterCard, BizWizard, Instagram, Yoast SEO 13.0, Gravatar, Google analytics, TLS v1.2, Office365 email, Chart.js, Twitter typeahead.js, SSL/TLS, Jquery, Website, Visa, Swiper Slider, Outlook, WP Engine, Google maps, Microsoft exchange, Apple Pay, Yoast SEO, Wordpress, Tab Icon, jQuery Migrate, Google tag manager, TLS v1.0, Modernizr, American Express, Sustainability Report, Lightbox, Nginx, Youtube Embed, Amazon web services, Form Html Element, Vimeo, Mysql, Youtube, Google Plus, _("Responsive"), Google Site Verification, Extranet, Intercom, Recaptcha, Gravity Forms, Choices, Linkedin, Javascript, Facebook, TLS v1.1</t>
  </si>
  <si>
    <t>Litera AB</t>
  </si>
  <si>
    <t>Box 72</t>
  </si>
  <si>
    <t>litera.com</t>
  </si>
  <si>
    <t>Legal Tech,Software,Information Technology,SaaS,Legal</t>
  </si>
  <si>
    <t>https://app.vainu.io/vainu/prospect/112562349/</t>
  </si>
  <si>
    <t>PHP, Bootstrap, Jobvite, Font awesome, Braintree, TLS v1.2, Google analytics, Slick, Website, SSL/TLS, Jquery, Brightcove, Twitter, Salesforce, Salesforce Lightning Platform, Embed.Ly, Wistia, BugHerd, LogMeIn, Office 365, Zurb foundation, Cloudflare, Yoast SEO, Wordpress, Tab Icon, jQuery Migrate, Google tag manager, Html5, Bootstrap 4.4, Crownpeak / Evidon, AMP, Stripe Online Payments, GoToWebinar, Facebook Like Button Plugin, Google font api, Hubspot CMS, Salesforce Community, Flywheel, Hubspot Email, Angularjs, Wix, Youtube Embed, jsDelivr, Flywheel 4.1, Stripe, Form Html Element, Mysql, Yoast SEO 17.1, Youtube, Vimeo, Hubspot Live Chat, Linkedin Sign-in, Mimecast, Google Site Verification, HubSpot CMS Hub, _("Responsive"), Glassdoor Job Search, ApexPages, Blog, Hubspot Analytics, _("Online_Store"), Hubspot Leadflows, Hubspot Marketing Hub, Hubspot, Hubspot Forms, Linkedin, Javascript, Facebook, Docusign</t>
  </si>
  <si>
    <t>En, Pt</t>
  </si>
  <si>
    <t>Liveguide AB</t>
  </si>
  <si>
    <t>Box 27044</t>
  </si>
  <si>
    <t>liveguidechat.com</t>
  </si>
  <si>
    <t>API,Artificial Intelligence,B2C,Software,Virtual Assistant,Messaging,Information Technology,Customer Engagement,Video Chat,Contact Management,Real Time,Internet,Social CRM,SaaS,Customer Service,Productivity Tools,Enterprise Software,Developer APIs</t>
  </si>
  <si>
    <t>https://app.vainu.io/vainu/prospect/1214238/</t>
  </si>
  <si>
    <t>PHP, Vkontakte, Font awesome, Gravatar, TLS v1.2, Website, SSL/TLS, Jquery, Tumblr, Swiper Slider, Wp rocket, Adobe Typekit, Elementor, Yoast SEO, Wordpress, Tab Icon, jQuery Migrate, Google tag manager, Html5, Yoast SEO 15.9, TLS v1.0, WordPress 5.7, Addthis, Catapult Cookie Consent, Nginx, Amazon web services, Whatsapp Website Icon, Form Html Element, Vimeo, Mysql, Youtube, Linkedin, Google Plus, _("Responsive"), WordPress 5, GSAP, Recaptcha, Gravity Forms, Youtube Embed, Javascript, Facebook, TLS v1.1</t>
  </si>
  <si>
    <t>Match2One AB</t>
  </si>
  <si>
    <t>Stureplan, 6</t>
  </si>
  <si>
    <t>match2one.se</t>
  </si>
  <si>
    <t>Advertising,B2B,B2C,Digital Marketing,DSP,Marketing,SaaS,Big Data</t>
  </si>
  <si>
    <t>https://app.vainu.io/vainu/prospect/28566233/</t>
  </si>
  <si>
    <t>PHP, Instagram, TLS v1.2, Website, Visual website optimizer, SSL/TLS, Jquery, Twitter, Wp rocket, WP Engine, Yoast SEO, Wordpress, Tab Icon, Google tag manager, Slack, Nginx, Swedish, Javascript, Amazon web services, Form Html Element, English, Mysql, _("Responsive"), Google Site Verification, Intercom, Hubspot Analytics, Contact Form 7 Wordpress Plugin, Hubspot, Yoast SEO 12.0, Linkedin, Hubspot Ads Pixel, Facebook</t>
  </si>
  <si>
    <t>Meetio AB</t>
  </si>
  <si>
    <t>Eric Perssons Väg 21</t>
  </si>
  <si>
    <t>meetio.com</t>
  </si>
  <si>
    <t>Office Administration,Facility Management,Meeting Software,Virtual Workforce,Operating Systems,Consumer Software,Software,Video Chat,Contact Management,Real Time,SaaS,Management Information Systems,Enterprise,Collaboration,Productivity Tools,Enterprise Software,Scheduling</t>
  </si>
  <si>
    <t>https://app.vainu.io/vainu/prospect/116679523/</t>
  </si>
  <si>
    <t>PHP, Teamtailor, Ziggeo, Doubleclick, Font awesome, Linkedin Analytics / Advertisement Pixel, Instagram, Material Design Lite, TLS v1.2, Google analytics, Website, section.io, SSL/TLS, Jquery, Mailchimp, OneTrust, Twitter, Liadm, Outlook, Fontfaceobserver, Stimulus, Google maps, Microsoft exchange, Amazon CloudFront, Cloudflare, Bouncex, Tab Icon, Google tag manager, Outbrain, Varnish, Cookielaw, Html5, Ruby, Taboola, Hubspot Rss Feed, TLS v1.0, Bootstrap, Optanon Cookie Consent, AMP, Thetradedesk / Adbrain, Heroku, GoToWebinar, Facebook Like Button Plugin, Google font api, Addthis, Hubspot CMS, Hubspot Email, Nginx, Swedish, Facebook Share Button Plugin, Youtube Embed, Amazon web services, Form Html Element, Vimeo, English, Linkedin Sign-in, Youtube, Hubspot Live Chat, HubSpot CMS Hub, _("Responsive"), Google Site Verification, Hubspot Analytics, Rackcache, Hubspot Marketing Hub, Gmail, Hubspot, Sendgrid, Hubspot Forms, Linkedin, Javascript, Facebook, TLS v1.1</t>
  </si>
  <si>
    <t>Meitner AB</t>
  </si>
  <si>
    <t>Upplandsgatan 24A</t>
  </si>
  <si>
    <t>meitner.se</t>
  </si>
  <si>
    <t>Education,Information Technology,SaaS,Software</t>
  </si>
  <si>
    <t>https://app.vainu.io/vainu/prospect/1867830751/</t>
  </si>
  <si>
    <t>Webflow, Instagram, TLS v1.2, Google analytics, Website, Mailchimp, SSL/TLS, Jquery, Adobe Typekit, Embed.Ly, Tab Icon, Google tag manager, Varnish, Google play, Google font api, Facebook pixel, Nginx, Form Html Element, _("Responsive"), Google Site Verification, Gmail, Openresty, Linkedin, Javascript, Facebook</t>
  </si>
  <si>
    <t>Membrain AB</t>
  </si>
  <si>
    <t>Vegagatan 6</t>
  </si>
  <si>
    <t>https://www.membrain.com/</t>
  </si>
  <si>
    <t>CRM,Sales Automation,B2B,Software,Information Technology,SaaS,Sales,Sales Enablement</t>
  </si>
  <si>
    <t>https://app.vainu.io/vainu/prospect/113147233/</t>
  </si>
  <si>
    <t>Membrain CRM, PHP, MasterCard, Font awesome, Linkedin Analytics / Advertisement Pixel, Website, Google analytics, Microsoft IIS, Microsoft IIS 10.0, Jquery, Twitter, Microsoft asp.net, Wistia, Atlassian Domain Verification, Apple App Store, Amazon CloudFront, Cloudflare, Tab Icon, Google play, Linkedin Data Partner, Linkedin Insight Tag, GoToWebinar, Google font api, Hubspot CMS, Amazon web services, Form Html Element, Linkedin Sign-in, Linkedin, Youtube, Google Plus, HubSpot CMS Hub, _("Responsive"), Google Site Verification, Blog, _("Online_Store"), Hubspot Marketing Hub, Brighttalk, Hubspot, Hubspot Forms, Youtube Embed, Javascript, Facebook</t>
  </si>
  <si>
    <t>Memlin AB</t>
  </si>
  <si>
    <t>memlin.com</t>
  </si>
  <si>
    <t>Event Management,SaaS,Software,Events</t>
  </si>
  <si>
    <t>https://app.vainu.io/vainu/prospect/424658320/</t>
  </si>
  <si>
    <t>PHP, Bootstrap 3.3, Bootstrap, MasterCard, Font awesome, React, Intranet, Instagram, TLS v1.2, Website, Mailchimp, SSL/TLS, Jquery, Amazon CloudFront, Tab Icon, Wordpress, Google tag manager, Html5, ReDoc, Hubspot Meetings Plugin, TLS v1.0, Modernizr, Google font api, Swedish, Amazon web services, jsDelivr, Form Html Element, Youtube, Moment.js, Linkedin, _("Responsive"), Google Site Verification, Blog, Apache, Gmail, Hubspot, Hubspot Sales, Bulma, Youtube Embed, Vue.js, Javascript, Facebook, TLS v1.1</t>
  </si>
  <si>
    <t>Mentimeter AB</t>
  </si>
  <si>
    <t>Tulegatan 11</t>
  </si>
  <si>
    <t>mentimeter.com</t>
  </si>
  <si>
    <t>Virtual Workforce,Software,Information Technology,Knowledge Management,Presentations,Contact Management,Real Time,Video Chat,SaaS,Collaboration,Productivity Tools,Enterprise Software</t>
  </si>
  <si>
    <t>https://app.vainu.io/vainu/prospect/1425400/</t>
  </si>
  <si>
    <t>Global Site Tag, Facebook Domain Verification, PHP, Vkontakte, Dropbox, TLS v1.2, Google analytics, Website, SSL/TLS, Jquery, Twitter, Customer.io, Adobe Typekit, Requirejs, Cloudflare, Tab Icon, Google tag manager, Html5, TLS v1.0, Heroku, Google font api, GlobalSign, Braintree Payments, Detectify, ZOOM, Form Html Element, Vimeo, Flickr, Youtube, Linkedin, _("Responsive"), Google Site Verification, Intercom, Castle Accont Takeout Prevention, Gmail, Jobylon, Contentful, Youtube Embed, Javascript, Facebook, TLS v1.1</t>
  </si>
  <si>
    <t>MetaForce AB</t>
  </si>
  <si>
    <t>Magnus Ladulåsgatan 63 B</t>
  </si>
  <si>
    <t>metaforce.se</t>
  </si>
  <si>
    <t>Software,Cloud Computing,Customer Engagement,Customer Experience,Contact Management,Information Technology,Customer Service,SaaS,Enterprise,Business Information Systems,Management Information Systems</t>
  </si>
  <si>
    <t>https://app.vainu.io/vainu/prospect/1573705/</t>
  </si>
  <si>
    <t>Bootstrap, Font awesome, Linkedin Analytics / Advertisement Pixel, TLS v1.2, Google analytics, Website, Office365 email, SSL/TLS, Jquery, Afterpay, Outlook, Stimulus, Adobe Typekit, Microsoft exchange, Bootstrap 4.2, Tab Icon, Hubspot Meetings Plugin, TLS v1.0, Hotjar, Linkedin Data Partner, Xhtml, Linkedin Insight Tag, Google font api, Form Html Element, Vimeo, _("Responsive"), Google Site Verification, GSAP, Squarespace, Hubspot, Sendgrid, Hubspot Sales, Linkedin, Javascript, Facebook, TLS v1.1</t>
  </si>
  <si>
    <t>Mindbridge AB</t>
  </si>
  <si>
    <t>Stortorget 8</t>
  </si>
  <si>
    <t>ÖSTERSUND</t>
  </si>
  <si>
    <t>mindbridge.ai</t>
  </si>
  <si>
    <t>API,Artificial Intelligence,Software,FinTech,Risk Management,Information Technology,Financial Services,Machine Learning</t>
  </si>
  <si>
    <t>https://app.vainu.io/vainu/prospect/112068013/</t>
  </si>
  <si>
    <t>PHP, Hammer.js, Vkontakte, Bootstrap 3.3, Bootstrap, Bamboo HR, Instagram, TLS v1.2, Website, Slick, Mailchimp, SSL/TLS, Jquery, Twitter, WP Engine, Atlassian Domain Verification, Cloudflare, Crazy egg, Tab Icon, Wordpress, jQuery Migrate, Ionicons, Google tag manager, Html5, Typeform, TLS v1.0, Xhtml, Flickity, Pinterest, wpBakery, Google font api, Lightbox, Hubspot Email, Nginx, Zendesk Chat, Facebook Share Button Plugin, Youtube Embed, Javascript, Form Html Element, Vimeo, Mysql, Azure Edge, Youtube, Google Plus, _("Responsive"), Google Site Verification, Zendesk, Hubspot Analytics, Gmail, Hubspot, Sendgrid, Hubspot Forms, Linkedin, Hubspot Ads Pixel, Facebook, TLS v1.1</t>
  </si>
  <si>
    <t>Minna Technologies AB</t>
  </si>
  <si>
    <t>Kungsgatan 20, 6 tr</t>
  </si>
  <si>
    <t>minnatechnologies.com</t>
  </si>
  <si>
    <t>API,Payments,Software,FinTech,Finance,Information Technology,Financial Services,Mobile Payments,Banking</t>
  </si>
  <si>
    <t>https://app.vainu.io/vainu/prospect/2246817/</t>
  </si>
  <si>
    <t>Global Site Tag, PHP, Apache 2.4, Google adwords, Teamtailor, Ziggeo, Ubuntu, Font awesome, Linkedin Analytics / Advertisement Pixel, Instagram, Gravatar, TLS v1.2, Google analytics, Website, section.io, SSL/TLS, Jquery, Twitter, Visa, Revslider, Flash video, Fontfaceobserver, Wordpress super cache, Stimulus, Leadfeeder, Wistia, Google maps, Mixpanel Analytics, Twitter Ads, Yoast SEO 12.7, Yoast SEO, Wordpress, Varnish, Tab Icon, jQuery Migrate, Html5, Google tag manager, Ruby, Hotjar, Linkedin Data Partner, Xhtml, Slack, Linkedin Insight Tag, Heroku, Facebook Like Button Plugin, Google font api, Addthis, Facebook pixel, Facebook Share Button Plugin, Youtube Embed, Javascript, Form Html Element, Vimeo, Mysql, Youtube, Google Plus, _("Responsive"), Google Site Verification, WordPress 5, Hubspot Analytics, Rackcache, Apache, Gmail, Contact Form 7 Wordpress Plugin, Hubspot, Hubspot Forms, Revslider 5.4, Linkedin, Hubspot Ads Pixel, Facebook</t>
  </si>
  <si>
    <t>Minuba AB</t>
  </si>
  <si>
    <t>Stora Åvägen 21</t>
  </si>
  <si>
    <t>ASKIM</t>
  </si>
  <si>
    <t>https://minuba.se/</t>
  </si>
  <si>
    <t>https://app.vainu.io/vainu/prospect/544281598/</t>
  </si>
  <si>
    <t>Global Site Tag, Facebook Domain Verification, Apache 2.4, PHP, Ubuntu, Bootstrap, Gravatar, TLS v1.2, Website, SSL/TLS, Jquery, Twitter, Apple App Store, Yoast SEO, Wordpress, Tab Icon, jQuery Migrate, Flash, Html5, Google tag manager, Google play, Facebook Like Button Plugin, Lightbox, Facebook pixel, animate.css, Facebook Share Button Plugin, jsDelivr, Form Html Element, Vimeo, jQuery UI 1.12, Yoast SEO 17.1, Mysql, Youtube, Linkedin, _("Responsive"), Google Site Verification, Apache, Recaptcha, Jquery ui, Youtube Embed, Moove Cookie Consent, Javascript, Facebook</t>
  </si>
  <si>
    <t>Modular Finance AB</t>
  </si>
  <si>
    <t>Birger Jarlsgatan 41A</t>
  </si>
  <si>
    <t>modularfinance.se</t>
  </si>
  <si>
    <t>API,Software,FinTech,Information Technology,Financial Services</t>
  </si>
  <si>
    <t>https://app.vainu.io/vainu/prospect/1450240/</t>
  </si>
  <si>
    <t>PHP, Teamtailor, Ziggeo, Font awesome, TLS v1.2, Google analytics, Website, section.io, SSL/TLS, Jquery, Mailchimp, Twitter, Fontfaceobserver, Stimulus, Google maps, Tab Icon, Varnish, Ruby, Html5, Slack, Heroku, Facebook Like Button Plugin, Google font api, Swedish, Facebook Share Button Plugin, Form Html Element, Vimeo, English, Linkedin, _("Responsive"), Google Site Verification, Highlight.js, Blog, Rackcache, Gmail, Pure css, Youtube Embed, Javascript, Facebook</t>
  </si>
  <si>
    <t>Mokini AB</t>
  </si>
  <si>
    <t>Kompassgatan 31</t>
  </si>
  <si>
    <t>mokini.se</t>
  </si>
  <si>
    <t>Advertising,Software,Digital Marketing,Marketing Automation,Marketing,SaaS,E-Commerce,Email Marketing</t>
  </si>
  <si>
    <t>https://app.vainu.io/vainu/prospect/112515602/</t>
  </si>
  <si>
    <t>PHP, Font awesome, Gravatar, TLS v1.2, Website, SSL/TLS, Jquery, Twitter, Swiper Slider, WP Engine, Flash video, Revslider, Google maps, Tab Icon, Wordpress, jQuery Migrate, Ionicons, Flash, TLS v1.0, Modernizr, Hotjar, Pinterest, iubenda, Weglot, Facebook Like Button Plugin, Google font api, Nginx, Form Html Element, Vimeo, English, Mysql, Prettyphoto, Linkedin, Google Plus, Prestashop, Segment, Google Site Verification, _("Responsive"), Intercom, _("Online_Store"), OWL Carousel, Contact Form 7 Wordpress Plugin, Revslider 5.4, Youtube Embed, Javascript, Facebook, TLS v1.1</t>
  </si>
  <si>
    <t>Momentum Software AB</t>
  </si>
  <si>
    <t>Pelle Bergs backe 3A</t>
  </si>
  <si>
    <t>FALUN</t>
  </si>
  <si>
    <t>momentum.se</t>
  </si>
  <si>
    <t>Software,Information Technology,Document Management,Management Information Systems,SaaS,Business Information Systems,Analytics</t>
  </si>
  <si>
    <t>https://app.vainu.io/vainu/prospect/1563327/</t>
  </si>
  <si>
    <t>PHP, GitHub Pages, Bootstrap 3.3, Bootstrap, Font awesome, Linkedin Analytics / Advertisement Pixel, TLS v1.2, Google analytics, Website, Office365 email, Microsoft IIS, Twitter typeahead.js, SSL/TLS, Jquery, Albacross Analytics, Microsoft IIS 10.0, Ruby on rails, Outlook, Flash video, Microsoft asp.net, Office 365, Wistia, Google maps, Microsoft exchange, Booking Widget (All), Tab Icon, Google tag manager, Ruby, Html5, Hotjar, Linkedin Data Partner, Linkedin Insight Tag, Sustainability Report, Upsales Crm, Google font api, Nginx, Facebook Share Button Plugin, Form Html Element, Vimeo, BidTheatre, Moment.js, _("Responsive"), Google Site Verification, Highlight.js, Pure css, Sendgrid, Openresty, Linkedin, Javascript, Facebook</t>
  </si>
  <si>
    <t>Mowin AB</t>
  </si>
  <si>
    <t>Energigatan 11</t>
  </si>
  <si>
    <t>KUNGSBACKA</t>
  </si>
  <si>
    <t>mowin.se</t>
  </si>
  <si>
    <t>https://app.vainu.io/vainu/prospect/1336207/</t>
  </si>
  <si>
    <t>Global Site Tag, PHP, Instagram, Gravatar, TLS v1.2, Google analytics, Website, SSL/TLS, Jquery, Twitter, Plesk, Drip Ecrm, Office 365, Apple App Store, Booking Widget (All), Tab Icon, Wordpress, Varnish, jQuery Migrate, Google tag manager, Google play, TLS v1.0, Pinterest, Google font api, WordPress 5.0, Facebook pixel, Nginx, animate.css, Zendesk Chat, Varnish 7.0, Facebook Share Button Plugin, Youtube Embed, Whatsapp Website Icon, Form Html Element, Vimeo, Mysql, Youtube, Google Plus, _("Responsive"), Google Site Verification, WordPress 5, Zendesk, GSAP, Apache, Gmail, Recaptcha, Contact Form 7 Wordpress Plugin, Linkedin, Javascript, Facebook, TLS v1.1</t>
  </si>
  <si>
    <t>MyGizmo AB</t>
  </si>
  <si>
    <t>Fridhemsgatan 9</t>
  </si>
  <si>
    <t>mygizmo.se</t>
  </si>
  <si>
    <t>https://app.vainu.io/vainu/prospect/625303899/</t>
  </si>
  <si>
    <t>Global Site Tag, PHP, Instagram, TLS v1.2, Google analytics, Slick, Website, SSL/TLS, Jquery, Twitter, Wp rocket, Amazon CloudFront, Yoast SEO, Wordpress, Tab Icon, Google tag manager, Html5, TLS v1.0, Pinterest, AmazonS, Google font api, Nginx, Angularjs, Facebook Share Button Plugin, Amazon web services, Form Html Element, Vimeo, Mysql, _("Responsive"), Yoast SEO 16.6, Contact Form 7 Wordpress Plugin, Oderland, Linkedin, Javascript, Facebook, TLS v1.1</t>
  </si>
  <si>
    <t>Netigate AB</t>
  </si>
  <si>
    <t>Drottninggatan 29</t>
  </si>
  <si>
    <t>netigate.se</t>
  </si>
  <si>
    <t>B2B,Software,Commercial,Customer Experience,Information Technology,Customer Service,SaaS,Analytics,Market Research</t>
  </si>
  <si>
    <t>https://app.vainu.io/vainu/prospect/1460962/</t>
  </si>
  <si>
    <t>PHP, Teamtailor, Bootstrap, Doubleclick, Font awesome, Linkedin Analytics / Advertisement Pixel, Instagram, TLS v1.2, Google analytics, Website, Office365 email, SSL/TLS, Jquery, Twitter, Pardot, Outlook, Salesforce, Microsoft asp.net, Office 365, Microsoft exchange, Exclaimer Cloud, Tab Icon, Wordpress, Google tag manager, Google font api, Nginx, Swedish, Salesforce marketing cloud, Microsoft azure, jsDelivr, Form Html Element, Vimeo, Mysql, Linkedin, _("Responsive"), Google Site Verification, Glassdoor Job Search, Youtube Embed, Javascript, Facebook</t>
  </si>
  <si>
    <t>Netwic AB</t>
  </si>
  <si>
    <t>Swedenborgsgatan 39 A, 2 tr</t>
  </si>
  <si>
    <t>netwic.com</t>
  </si>
  <si>
    <t>Virtual Workforce,Software,Information Technology,Human Resources,Internet,SaaS,Recruiting,Management Information Systems</t>
  </si>
  <si>
    <t>https://app.vainu.io/vainu/prospect/1516696/</t>
  </si>
  <si>
    <t>Website, Apache, TLS v1.2, Tab Icon, SSL/TLS, Jquery, Sendgrid, Form Html Element, Javascript, _("Responsive"), Google Site Verification</t>
  </si>
  <si>
    <t>Nhost AB</t>
  </si>
  <si>
    <t>Spennarslingan 20</t>
  </si>
  <si>
    <t>NYKVARN</t>
  </si>
  <si>
    <t>nhost.io</t>
  </si>
  <si>
    <t>Enterprise Applications,Software,Application Performance Management,Developer Tools,MySQL,Consumer Applications,API,Open Source,Database,PaaS,Data Center Automation,Cloud Infrastructure,Developer APIs,Developer Platform,Operating Systems,Consumer Software,Linux,Information Technology,Cloud Computing</t>
  </si>
  <si>
    <t>https://app.vainu.io/vainu/prospect/1809953372/</t>
  </si>
  <si>
    <t>Google adwords, TLS v1.2, Google analytics, Website, SSL/TLS, Twitter, Tab Icon, Google tag manager, TLS v1.0, Stripe Online Payments, Vercel, jsDelivr, Form Html Element, Youtube, Linkedin, _("Responsive"), Google Site Verification, Smartlook, Gmail, Youtube Embed, Javascript, TLS v1.1</t>
  </si>
  <si>
    <t>Nordkap AB</t>
  </si>
  <si>
    <t>Vasagatan 40</t>
  </si>
  <si>
    <t>nordkap.se</t>
  </si>
  <si>
    <t>FinTech,Commercial Real Estate,Property Management,SaaS,Real Estate</t>
  </si>
  <si>
    <t>https://app.vainu.io/vainu/prospect/1587575/</t>
  </si>
  <si>
    <t>Global Site Tag, PHP, Bootstrap 3.3, Ziggeo, Teamtailor, Dropbox, Bootstrap, Instagram, TLS v1.2, Google analytics, Website, section.io, SSL/TLS, Jquery, Afterpay, Twitter, Flash video, Fontfaceobserver, Microsoft asp.net, Stimulus, Adobe Typekit, Wistia, Google maps, Tab Icon, Google tag manager, Kestrel, Varnish, Ruby, Html5, TLS v1.0, Xhtml, Upsales Crm, Heroku, Facebook Like Button Plugin, Google font api, Detectify, Facebook Share Button Plugin, Amazon web services, Form Html Element, Vimeo, BidTheatre, Linkedin, _("Responsive"), TLS problem, Rackcache, Squarespace, Gmail, Youtube Embed, Javascript, Facebook, TLS v1.1</t>
  </si>
  <si>
    <t>Notify AB</t>
  </si>
  <si>
    <t>Fabriksplan 11</t>
  </si>
  <si>
    <t>https://www.notified.com/?lang=en</t>
  </si>
  <si>
    <t>Predictive Analytics,Software,Information Technology,Content Discovery,Marketing,Social Media,SaaS,Public Relations,Social Media Marketing</t>
  </si>
  <si>
    <t>https://app.vainu.io/vainu/prospect/1419556/</t>
  </si>
  <si>
    <t>PHP, Instagram, Smartyads, TLS v1.2, Google analytics, Website, Microsoft IIS, Office365 email, SSL/TLS, Jquery, Force.com, Twitter, Microsoft IIS 10.0, Outlook, Salesforce, Microsoft asp.net, SweetAlert2, Adobe Typekit, Google maps, Microsoft exchange, Drupal, Apple App Store, Tab Icon, Wordpress, Google tag manager, Google play, TLS v1.0, Modernizr, Slack, Akamai, Thetradedesk / Adbrain, Google font api, lodash, Swedish, Heap, New relic, Amazon web services, Form Html Element, Vimeo, jQuery UI 1.12, English, Youtube, Linkedin, Typekit, Google Site Verification, _("Responsive"), Intercom, Drupal 9, Jquery ui, Youtube Embed, Active Campaign, Javascript, Facebook</t>
  </si>
  <si>
    <t>OEBA Solutions AB</t>
  </si>
  <si>
    <t>Västergatan 7, 3 tr</t>
  </si>
  <si>
    <t>oebas.se</t>
  </si>
  <si>
    <t>https://app.vainu.io/vainu/prospect/1414054/</t>
  </si>
  <si>
    <t>Bootstrap, TLS v1.2, Google analytics, Slick, Office365 email, SSL/TLS, Jquery, Website, Mailchimp, Outlook, Adobe Typekit, Microsoft exchange, Tab Icon, Html5, Bootstrap 4.3, Google font api, Nginx, Popper, Phusion Passenger, Form Html Element, jsDelivr, Typekit, _("Responsive"), Popper 1.14, Javascript</t>
  </si>
  <si>
    <t>Oneflow AB</t>
  </si>
  <si>
    <t>Gävlegatan 12A</t>
  </si>
  <si>
    <t>oneflow.com</t>
  </si>
  <si>
    <t>Virtual Workforce,API,Sales Automation,Software,Contract Management,Contact Management,Document Management,E-Signature,SaaS,Management Information Systems,Enterprise,Sales,Business Information Systems,Productivity Tools,Enterprise Software</t>
  </si>
  <si>
    <t>https://app.vainu.io/vainu/prospect/1209679/</t>
  </si>
  <si>
    <t>PHP, Teamtailor, Instagram, Gravatar, TLS v1.2, Google analytics, Website, section.io, SSL/TLS, Jquery, Amazon SES, Danish, Twitter, Dutch, Appcues, Pardot, Wp rocket, Flash video, Intelliplan Ats, Atlassian Domain Verification, UNPKG, Amazon CloudFront, Cloudflare, Freshdesk Freshchat, Tab Icon, Wordpress, Varnish, Google tag manager, Ruby, Postmark, TLS v1.0, Xhtml, German, French, Heroku, Google font api, Nginx, Swedish, Salesforce marketing cloud, Finnish, Norwegian, Youtube Embed, Amazon web services, Form Html Element, English, Mysql, Youtube, _("Responsive"), Google Site Verification, Intercom, Rackcache, Gmail, Jobylon, Gravity Forms, Linkedin, Javascript, Facebook, TLS v1.1</t>
  </si>
  <si>
    <t>Sv, No, En, Da, De, Nl, Nb, Fr, Fi</t>
  </si>
  <si>
    <t>Open Text AB</t>
  </si>
  <si>
    <t>Box 24210</t>
  </si>
  <si>
    <t>opentext.se</t>
  </si>
  <si>
    <t>API,Content,Operating Systems,Software,Semantic Web,Information Technology,CMS,Document Management,SaaS,Management Information Systems,Enterprise,Knowledge Management,Enterprise Software</t>
  </si>
  <si>
    <t>https://app.vainu.io/vainu/prospect/1193958/</t>
  </si>
  <si>
    <t>PHP, Akamai mPulse, Intranet, TLS v1.2, Website, SSL/TLS, Jquery, Twitter, Avature, Oracle marketing cloud, Adobe Typekit, Underscore.js, Akamai Boomerang, Cxense, jQuery Migrate, Google tag manager, Html5, Akamai, American Express, Discover, Vidyard, Form Html Element, Vimeo, Akamai Resource Optimizer, Boomerang, Comscore, Youtube, Linkedin, Demandbase, _("Responsive"), Extranet, Blog, OWL Carousel, Recaptcha, Bold Chat, Youtube Embed, Javascript, Facebook</t>
  </si>
  <si>
    <t>Sv, Ja, En</t>
  </si>
  <si>
    <t>Opter AB</t>
  </si>
  <si>
    <t>Arenavägen 39</t>
  </si>
  <si>
    <t>fleet101.se</t>
  </si>
  <si>
    <t>B2B,Software,Commercial,SaaS,Transportation</t>
  </si>
  <si>
    <t>https://app.vainu.io/vainu/prospect/1333560/</t>
  </si>
  <si>
    <t>Imunify, Bootstrap 3.3, Bootstrap, TLS v1.2, Website, Office365 email, SSL/TLS, Jquery, Outlook, Office 365, Microsoft exchange, TLS v1.0, Google font api, Freshdesk, Form Html Element, _("Responsive"), Recaptcha, Sendgrid, Linkedin, Javascript, Facebook, TLS v1.1</t>
  </si>
  <si>
    <t>Sv, No, En, Da, Fi</t>
  </si>
  <si>
    <t>Oxceed AB</t>
  </si>
  <si>
    <t>Hammarbacken 10</t>
  </si>
  <si>
    <t>oxceed.se</t>
  </si>
  <si>
    <t>Business Intelligence,Software,Accounting,Information Technology,SaaS,Enterprise Software</t>
  </si>
  <si>
    <t>https://app.vainu.io/vainu/prospect/113312718/</t>
  </si>
  <si>
    <t>PHP, Bootstrap, Font awesome, Gravatar, TLS v1.2, Website, Office365 email, Chart.js, Microsoft IIS, SSL/TLS, Jquery, Blazor, Albacross Analytics, Microsoft IIS 10.0, Outlook, Flash video, Microsoft asp.net, Microsoft exchange, Yoast SEO, Wordpress, Tab Icon, jQuery Migrate, Flash, Google tag manager, Typeform, TLS v1.0, Bootstrap 4.3, Upsales Crm, Google font api, Facebook pixel, Nginx, Calendly, Popper, Microsoft azure, jsDelivr, Form Html Element, Vimeo, BidTheatre, Flickr, Yoast SEO 17.1, Mysql, Linkedin, Youtube, Bootstrap 4.5, _("Responsive"), Google Site Verification, Divi, Popper 1.14, Recaptcha, Hubspot Forms, Youtube Embed, Javascript, Facebook, TLS v1.1</t>
  </si>
  <si>
    <t>Pactumize AB</t>
  </si>
  <si>
    <t>Stora Björkudden Bosön</t>
  </si>
  <si>
    <t>LIDINGÖ</t>
  </si>
  <si>
    <t>pactumize.com</t>
  </si>
  <si>
    <t>https://app.vainu.io/vainu/prospect/625319766/</t>
  </si>
  <si>
    <t>Bootstrap, TLS v1.2, Website, Mailchimp, SSL/TLS, Jquery, Twitter, Office 365, Tab Icon, Google tag manager, Html5, Postmark, TLS v1.0, Slack, Google font api, TLS v1.1, jsDelivr, Form Html Element, jQuery UI 1.12, Youtube, Linkedin, _("Responsive"), Google Site Verification, Apache, Gmail, Recaptcha, Jquery ui, Youtube Embed, Javascript, Facebook, Bootstrap 3.4</t>
  </si>
  <si>
    <t>Pagero AB</t>
  </si>
  <si>
    <t>Box 11006</t>
  </si>
  <si>
    <t>pagero.com</t>
  </si>
  <si>
    <t>Information Technology,Software</t>
  </si>
  <si>
    <t>https://app.vainu.io/vainu/prospect/1550901/</t>
  </si>
  <si>
    <t>PHP, Bootstrap, MasterCard, TLS v1.2, Google analytics, Website, Office365 email, SSL/TLS, Jquery, OneTrust, Danish, Visa, Wp rocket, Outlook, Salesforce Lightning Platform, Office 365, Select2, Apple Pay, Underscore.js, Atlassian Domain Verification, Cloudflare, Tab Icon, Wordpress, jQuery Migrate, Google tag manager, Workbuster, Modernizr, Portuguese, German, American Express, Google Pay, Optanon Cookie Consent, French, Google font api, Addthis, Lightbox, Swedish, Finnish, Norwegian, Form Html Element, Vimeo, Mysql, Flickr, Linkedin, Youtube, _("Responsive"), Google Site Verification, WordPress 5, Ukrainian, Italian, _("Online_Store"), Spanish, Contact Form 7 Wordpress Plugin, Choices, Youtube Embed, Javascript, Facebook, Backbone.js</t>
  </si>
  <si>
    <t>Sv, No, En, Da, Pt, It, De, Fr, Es, Fi</t>
  </si>
  <si>
    <t>Palette Software AB</t>
  </si>
  <si>
    <t>Box 7025</t>
  </si>
  <si>
    <t>palettesoftware.com</t>
  </si>
  <si>
    <t>Consumer Software,Software,Accounting,Information Technology,Computer,SaaS,Financial Services,Billing,Business Information Systems,Management Information Systems</t>
  </si>
  <si>
    <t>https://app.vainu.io/vainu/prospect/1432490/</t>
  </si>
  <si>
    <t>PHP, Dropbox, Doubleclick, TLS v1.2, Website, Office365 email, SSL/TLS, Tawk.To Chat, Jquery, Outlook, Google maps, Microsoft exchange, Underscore.js, Act-on, Yoast SEO, Wordpress, Tab Icon, jQuery Migrate, Flash, Google tag manager, TLS v1.0, Nginx, Finnish, Form Html Element, Vimeo, English, Yoast SEO 17.1, Mysql, Youtube, Linkedin, _("Responsive"), Google Site Verification, Underscore.js 1.13, Recaptcha, NitroPack, Gravity Forms, Youtube Embed, Moove Cookie Consent, Javascript, Facebook, TLS v1.1</t>
  </si>
  <si>
    <t>Paligo AB</t>
  </si>
  <si>
    <t>Vretenvägen 2, 4 tr</t>
  </si>
  <si>
    <t>paligo.net</t>
  </si>
  <si>
    <t>Consumer Software,Content,Software,CMS,Information Technology,Contact Management,Document Management,SaaS,Enterprise,Knowledge Management,Enterprise Software</t>
  </si>
  <si>
    <t>https://app.vainu.io/vainu/prospect/2230306/</t>
  </si>
  <si>
    <t>PHP, Font awesome, Website, Google analytics, section.io, Jquery, Clipboard.js, Osano, Wordpress, G2 Crowd Conversion Tracking, Varnish, Google font api, Hubspot Email, English, Google Plus, WordPress 5, MaxMind, Cookie Consent By Insites, Apache, Algolia, Teamtailor, Gravatar, TLS v1.2, Wp rocket, Stimulus, Google tag manager, Xhtml, WordPress 5.7, Pinterest, Heroku, Facebook Share Button Plugin, Corsican, Amazon web services, jsDelivr, Vimeo, PushEngage, Yoast SEO 17.1, Hubspot Live Chat, _("Responsive"), Intercom, Hubspot Analytics, Gmail, Linkedin, Facebook, TLS v1.1, Ziggeo, Twitter, Aragonese, Google maps, Wistia, Yoast SEO, Tab Icon, jQuery Migrate, Mysql, Blog, Hubspot Ads Pixel, Bootstrap, SSL/TLS, Fontfaceobserver, Ruby, Html5, TLS v1.0, Hotjar, Facebook Like Button Plugin, Form Html Element, Youtube, TLS problem, Zendesk, Highlight.js, Hubspot Leadflows, Rackcache, Materialize CSS, Contact Form 7 Wordpress Plugin, Hubspot, Hubspot Forms, Youtube Embed, Javascript</t>
  </si>
  <si>
    <t>Papercut Invest AB</t>
  </si>
  <si>
    <t>Box 8822</t>
  </si>
  <si>
    <t>papercut.com</t>
  </si>
  <si>
    <t>Consumer Software,Operating Systems,Software,Information Technology,Software Engineering,Computer,Product Search,Manufacturing,SaaS,Enterprise,Printing,Enterprise Software</t>
  </si>
  <si>
    <t>https://app.vainu.io/vainu/prospect/1436887/</t>
  </si>
  <si>
    <t>PHP, Dropbox, MasterCard, Font awesome, Linkedin Analytics / Advertisement Pixel, Intranet, Smartyads, TLS v1.2, Google analytics, Website, Google app engine, SSL/TLS, Twitter, WP Engine, Adobe Typekit, Office 365, Wistia, Spot.Im / Disgus, Google Frontend, Cloudflare, Yoast SEO, Wordpress, Tab Icon, Google tag manager, Html5, Marketo, Lever, TLS v1.0, Hotjar, Bootstrap, Google Optimize, American Express, Google font api, Discover, Nginx, Zendesk Chat, Facebook Share Button Plugin, Youtube Embed, Form Html Element, Bootstrap 4.7, Mysql, Youtube, Typekit, Disqus, Google Site Verification, _("Responsive"), Zendesk, Google Cloud, Blog, Apache, Gmail, Metricool, Yoast SEO 16.2, Hubspot, Sendgrid, Linkedin, Vue.js, Javascript, Facebook, TLS v1.1</t>
  </si>
  <si>
    <t>Partnox AB</t>
  </si>
  <si>
    <t>Hagenvägen 18</t>
  </si>
  <si>
    <t>TRÅNGSUND</t>
  </si>
  <si>
    <t>https://app.vainu.io/vainu/prospect/1867830589/</t>
  </si>
  <si>
    <t>Peltarion AB</t>
  </si>
  <si>
    <t>HOLLÄNDARGATAN 17</t>
  </si>
  <si>
    <t>peltarion.com</t>
  </si>
  <si>
    <t>Artificial Intelligence,Software,Semantic Web,Natural Language Processing,Information Technology,Software Engineering,Intelligent Systems,Analytics,Machine Learning</t>
  </si>
  <si>
    <t>https://app.vainu.io/vainu/prospect/112657070/</t>
  </si>
  <si>
    <t>TLS v1.2, Website, SSL/TLS, Twitter, Salesforce, Google maps, Prismic.Io, Google tag manager, TLS v1.0, Slack, Marketo Forms 2, Facebook pixel, Marketo Forms, Cookiebot, _("Responsive"), Google Site Verification, Google Sign-in, Intercom, Gmail, Recaptcha, Linkedin, Vue.js, Javascript, Facebook, TLS v1.1</t>
  </si>
  <si>
    <t>Penetrace AS</t>
  </si>
  <si>
    <t>Klara Östra Kyrkogata 2 B</t>
  </si>
  <si>
    <t>penetrace.com</t>
  </si>
  <si>
    <t>Advertising,Artificial Intelligence,Software,Brand Marketing,Marketing Automation,Marketing,SaaS,Big Data,Analytics,Machine Learning</t>
  </si>
  <si>
    <t>https://app.vainu.io/vainu/prospect/1501160/</t>
  </si>
  <si>
    <t>PHP, Bootstrap, Font awesome, Linkedin Analytics / Advertisement Pixel, Instagram, Website, Google analytics, Microsoft IIS, Microsoft IIS 10.0, Jquery, Twitter, Microsoft asp.net, Google maps, Amazon CloudFront, Cloudflare, Tab Icon, jQuery Migrate, Html5, Hotjar, Linkedin Data Partner, Slack, Linkedin Insight Tag, GoToWebinar, Google font api, Hubspot CMS, Facebook pixel, Hubspot Customer Feedback, Norwegian, Amazon web services, Form Html Element, Vimeo, English, Linkedin Sign-in, Linkedin, Youtube, Bootstrap 4.6, HubSpot CMS Hub, _("Responsive"), Blog, Hubspot Marketing Hub, Gmail, Hubspot, Hubspot Forms, Youtube Embed, Javascript, Facebook, AMP</t>
  </si>
  <si>
    <t>Personalkollen Sverige AB</t>
  </si>
  <si>
    <t>Östra Kyrkogatan 34</t>
  </si>
  <si>
    <t>personalkollen.se</t>
  </si>
  <si>
    <t>Small and Medium Businesses,Consumer Software,B2B,Software,Information Technology,SaaS</t>
  </si>
  <si>
    <t>https://app.vainu.io/vainu/prospect/1223302/</t>
  </si>
  <si>
    <t>Help Scout, TLS v1.2, Website, Django, Mailchimp, SSL/TLS, Jquery, Amazon SES, Python, Office 365, Tab Icon, Html5, Google play, TLS v1.0, Plausible, Modernizr, Slack, Google font api, Nginx, New relic, Amazon web services, Form Html Element, Vimeo, Youtube, Linkedin, _("Responsive"), Google Site Verification, Highlight.js, Gmail, Recaptcha, Openresty, Youtube Embed, Active Campaign, Javascript, Facebook, TLS v1.1</t>
  </si>
  <si>
    <t>Pinmeto AB</t>
  </si>
  <si>
    <t>Adelgatan 9</t>
  </si>
  <si>
    <t>pinmeto.com</t>
  </si>
  <si>
    <t>Software,Local Business,Social Media Marketing,Digital Marketing,Location Based Services,Real Time,Social CRM,SaaS,Local Advertising,Search Engine,Local,Online Forums,Advertising,B2C,Internet,Content Discovery,SEO,Social Media,Google,Marketing</t>
  </si>
  <si>
    <t>https://app.vainu.io/vainu/prospect/1544878/</t>
  </si>
  <si>
    <t>Facebook Domain Verification, PHP, Teamtailor, Font awesome, Linkedin Analytics / Advertisement Pixel, Website, Google analytics, section.io, Mailchimp, Jquery, Tumblr, Afterpay, Twitter, SendinBlue, Stimulus, Embed.Ly, Tab Icon, Google tag manager, Varnish, Ruby, Html5, Linkedin Data Partner, Xhtml, Slack, Linkedin Insight Tag, Pinterest, Elfsight, Node.js, Facebook Page Plugin, Google font api, Heroku, Facebook pixel, Express, Facebook Share Button Plugin, Youtube Embed, Form Html Element, Vimeo, _("Responsive"), Google Site Verification, Intercom, Blog, Rackcache, Squarespace, Gmail, Linkedin, Javascript, Facebook, AMP</t>
  </si>
  <si>
    <t>Planacy AB</t>
  </si>
  <si>
    <t>Saltmätargatan 8, 4tr</t>
  </si>
  <si>
    <t>planacy.com</t>
  </si>
  <si>
    <t>Software,Information Technology,Enterprise Software,SaaS,Management Information Systems,Enterprise,Business Information Systems,Analytics</t>
  </si>
  <si>
    <t>https://app.vainu.io/vainu/prospect/1464197/</t>
  </si>
  <si>
    <t>Global Site Tag, Facebook Domain Verification, PHP, Linkedin Analytics / Advertisement Pixel, Instagram, Gravatar, TLS v1.2, Google analytics, Slick, Office365 email, SSL/TLS, Jquery, Website, Mailchimp, Litespeed, Wp rocket, Outlook, Office 365, Leadfeeder, Microsoft exchange, Yoast SEO, Wordpress, Tab Icon, jQuery Migrate, Google tag manager, TLS v1.0, Modernizr, Linkedin Data Partner, Slack, Hotjar, Google Optimize, Linkedin Insight Tag, GoToWebinar, Google font api, Hubspot CMS, Facebook pixel, Swedish, Yoast SEO 17.2, Javascript, Form Html Element, Vimeo, English, Yoast SEO 17.1, Mysql, _("Responsive"), Google Site Verification, Hubspot Leadflows, Hubspot Analytics, Hubspot, Hubspot Forms, Choices, Oderland, Linkedin, Hubspot Ads Pixel, Facebook, TLS v1.1</t>
  </si>
  <si>
    <t>Planhat AB</t>
  </si>
  <si>
    <t>Kungsgatan 64</t>
  </si>
  <si>
    <t>https://www.planhat.com/</t>
  </si>
  <si>
    <t>CRM,Software,Customer Engagement,Customer Experience,Information Technology,Real Time,Enterprise Software,Social CRM,Customer Service,SaaS,Management Information Systems,Sales,Analytics</t>
  </si>
  <si>
    <t>https://app.vainu.io/vainu/prospect/2234109/</t>
  </si>
  <si>
    <t>Global Site Tag, PHP, React, Gravatar, TLS v1.2, Google analytics, Slick, Website, SSL/TLS, Jquery, Mailchimp, Twitter, Google Cloud Storage, Hugo 0.79, Amazon CloudFront, Tab Icon, Google tag manager, TLS v1.0, Hugo, Slack, Google Pay, Hubspot Email, Nginx, Facebook Share Button Plugin, Amazon web services, Form Html Element, Vimeo, Linkedin, Google Plus, _("Responsive"), Google Site Verification, Intercom, Highlight.js, Nginx 1.16, Google Cloud, Uploadserver, Gmail, Jobylon, Youtube Embed, Javascript, Facebook, TLS v1.1</t>
  </si>
  <si>
    <t>Planima AB</t>
  </si>
  <si>
    <t>Storgatan 53</t>
  </si>
  <si>
    <t>planima.se</t>
  </si>
  <si>
    <t>Software,Information Technology,Property Management,SaaS,Real Estate</t>
  </si>
  <si>
    <t>https://app.vainu.io/vainu/prospect/2215656/</t>
  </si>
  <si>
    <t>PHP, Vkontakte, Ziggeo, Teamtailor, Font awesome, Dropbox, Bootstrap, Gravatar, TLS v1.2, Google analytics, Website, section.io, SSL/TLS, Jquery, Tumblr, Twitter, Litespeed, Swiper Slider, Flash video, Stimulus, Elementor, Wistia, Cowboy, Spot.Im / Disgus, Litespeed Cache, Mynewsdesk Newsroom, Tab Icon, Wordpress, Varnish, jQuery Migrate, Google tag manager, Html5, Ruby, TLS v1.0, Nginx 1.10, WordPress 5.7, Slack, Sustainability Report, Heroku, Facebook Like Button Plugin, Facebook pixel, Nginx, Calendly, New relic, Facebook Share Button Plugin, Youtube Embed, Mailgun, Whatsapp Website Icon, Form Html Element, Vimeo, Mysql, Google Plus, _("Responsive"), Google Site Verification, WordPress 5, Intercom, Cookie Consent By Insites, Rackcache, Uikit, Linkedin, Active Campaign, Javascript, Facebook, TLS v1.1</t>
  </si>
  <si>
    <t>Polopoly AB</t>
  </si>
  <si>
    <t>Tulegatan 45</t>
  </si>
  <si>
    <t>atex.com</t>
  </si>
  <si>
    <t>Digital Media,Content,Software,CMS,Information Technology,Mobile,Publishing,SaaS,Enterprise Software</t>
  </si>
  <si>
    <t>https://app.vainu.io/vainu/prospect/1604580/</t>
  </si>
  <si>
    <t>Global Site Tag, PHP, Apache 2.4, Php 7.3, Google adwords, Bootstrap, Atlassian confluence, Font awesome, Intranet, Gravatar, Website, Google analytics, Mootools, Mailchimp, Prototype, Jquery, Joomla, Twitter, Outlook, Revslider, Revslider 6.5, Office 365, Google maps, Microsoft exchange, Underscore.js, jQuery Migrate, Wordpress, Yoast SEO, Tab Icon, Google tag manager, Centos, Modernizr, Xhtml, Google font api, Java, Lightbox, OpenSSL 1.0, Nginx, Javascript, Youtube Embed, Amazon web services, Form Html Element, Whatsapp Website Icon, Vimeo, Mysql, Yoast SEO 17.1, Flickr, Mimecast, _("Responsive"), WordPress 5, Extranet, Openssl, Apache, Recaptcha, Contact Form 7 Wordpress Plugin, Choices, Linkedin, Joomla 1.5, Facebook, Nginx 1.15</t>
  </si>
  <si>
    <t>Sv, It, En</t>
  </si>
  <si>
    <t>Price Edge Solutions AB</t>
  </si>
  <si>
    <t>Scheelegatan 8</t>
  </si>
  <si>
    <t>priceedge.eu</t>
  </si>
  <si>
    <t>Artificial Intelligence,B2B,Software,Information Technology,Retail Technology,Product Search,SaaS,E-Commerce,Retail</t>
  </si>
  <si>
    <t>https://app.vainu.io/vainu/prospect/2231048/</t>
  </si>
  <si>
    <t>Global Site Tag, GitHub Pages, Google adwords, PHP, Bootstrap, Font awesome, Gravatar, TLS v1.2, Google analytics, Website, SSL/TLS, Jquery, Albacross Analytics, Ruby on rails, Twitter, Flash video, Instafeed, Wordpress 4.9, Wistia, Google maps, Cloudflare, Yoast SEO, Wordpress, jQuery Migrate, Google tag manager, Ruby, Html5, Adroll, TLS v1.0, Yoast SEO 11.7, Slack, Wordpress 4, wpBakery, GoToWebinar, Google font api, Catapult Cookie Consent, Hubspot CMS, Facebook Share Button Plugin, Form Html Element, jQuery UI 1.12, Mysql, _("Responsive"), Blog, Contact Form 7 Wordpress Plugin, Jquery ui, Hubspot, Jobylon, Hubspot Forms, Linkedin, Javascript, Facebook, TLS v1.1</t>
  </si>
  <si>
    <t>PriceGain AB</t>
  </si>
  <si>
    <t>Wallingatan 20-22</t>
  </si>
  <si>
    <t>pricegain.com</t>
  </si>
  <si>
    <t>Small and Medium Businesses,B2B,B2C,Software,Information Technology,Marketing,SaaS,E-Commerce,Consulting</t>
  </si>
  <si>
    <t>https://app.vainu.io/vainu/prospect/1429067/</t>
  </si>
  <si>
    <t>PHP, Underscore.js 1.8, Font awesome, Force.com, TLS v1.2, Google analytics, Website, Office365 email, SSL/TLS, Jquery, Tumblr, Twitter, Litespeed, Wp rocket, Outlook, Flash video, Google adsense, Wistia, Google maps, Underscore.js, Microsoft exchange, Viber Public Chat, Tab Icon, Wordpress, Html5, Viber Share Button, TLS v1.0, Pinterest, Google Pay, Facebook Like Button Plugin, Google font api, Lightbox, Swedish, Snapchat, Youtube Embed, Amazon web services, Form Html Element, Vimeo, English, Mysql, Flickr, Youtube, Google Plus, Hubspot Live Chat, Linkedin Sign-in, _("Responsive"), Google Sign-in, Google Site Verification, AddToAny, Gravity Forms 2.5, Hubspot Analytics, Recaptcha, Hubspot, Hubspot Forms, Gravity Forms, Linkedin, Vue.js, Javascript, Facebook, TLS v1.1</t>
  </si>
  <si>
    <t>Pricise AB</t>
  </si>
  <si>
    <t>pricise.com</t>
  </si>
  <si>
    <t>https://app.vainu.io/vainu/prospect/116734883/</t>
  </si>
  <si>
    <t>PHP, Bootstrap, Gravatar, Website, Google analytics, Office365 email, SSL/TLS, Jquery, Outlook, Google maps, Microsoft exchange, jQuery Migrate, Wordpress, Google tag manager, APSIS Lead, TLS v1.0, Modernizr, Lightbox, Amazon web services, Form Html Element, Vimeo, Mysql, Youtube, _("Responsive"), WordPress 5, Apache, Recaptcha, Contact Form 7 Wordpress Plugin, Choices, Youtube Embed, Javascript, Facebook, TLS v1.1</t>
  </si>
  <si>
    <t>Priotice AB</t>
  </si>
  <si>
    <t>Videlundsgatan 14</t>
  </si>
  <si>
    <t>VÄSTRA FRÖLUNDA</t>
  </si>
  <si>
    <t>priotice.se</t>
  </si>
  <si>
    <t>B2B,Software,Information Technology,SaaS,Productivity Tools,Analytics</t>
  </si>
  <si>
    <t>https://app.vainu.io/vainu/prospect/112344677/</t>
  </si>
  <si>
    <t>PHP, Apache 2.4, Bootstrap, Font awesome, TLS v1.2, Website, SSL/TLS, Jquery, Twitter, Tab Icon, Html5, Swedish, Facebook Share Button Plugin, Form Html Element, Vimeo, English, Google Plus, _("Responsive"), Google Site Verification, Blog, Apache, Facebook, Javascript, Debian</t>
  </si>
  <si>
    <t>Projify AB</t>
  </si>
  <si>
    <t>Kungsgatan 12</t>
  </si>
  <si>
    <t>KARLSTAD</t>
  </si>
  <si>
    <t>projify.se</t>
  </si>
  <si>
    <t>Software,Information Technology,Project Management,SaaS,Collaboration</t>
  </si>
  <si>
    <t>https://app.vainu.io/vainu/prospect/112402664/</t>
  </si>
  <si>
    <t>PHP, Apple App Store, jQuery UI 1.8, Facebook Like Button Plugin, Nginx, Rackcache, Google analytics, Facebook, Tab Icon, Jquery ui, Jquery, Website, Ruby, Twitter, Javascript, nginx 0.8, Google Site Verification</t>
  </si>
  <si>
    <t>PromikBook Systems AB</t>
  </si>
  <si>
    <t>promikbook.com</t>
  </si>
  <si>
    <t>https://app.vainu.io/vainu/prospect/2263563/</t>
  </si>
  <si>
    <t>Proof Of Concept AB</t>
  </si>
  <si>
    <t>Johan Skyttes Väg 217</t>
  </si>
  <si>
    <t>ÄLVSJÖ</t>
  </si>
  <si>
    <t>onesignal.com</t>
  </si>
  <si>
    <t>Advertising,Mobile Advertising,B2C,Messaging,SMS,Software,Video Chat,Real Time,Mobile,SaaS,Developer APIs,App Marketing</t>
  </si>
  <si>
    <t>https://app.vainu.io/vainu/prospect/1222471/</t>
  </si>
  <si>
    <t>Global Site Tag, PHP, Bootstrap, MasterCard, Instagram, Gravatar, TLS v1.2, Google analytics, Website, Recurly, SSL/TLS, Jquery, Ghost, Amplitude, Twitter, Olark, Flash video, Salesforce, Stimulus, Bizible, Wistia, Cloudflare, Survicate, Tab Icon, Wordpress, Google tag manager, Html5, Marketo, TLS v1.0, Hotjar, Bootstrap 4.3, American Express, envoy, AMP, Marketo Forms 2, Heroku, Node.js, Ghost 4.8, Google font api, Angularjs, Marketo Forms, Popper, Shopify, Facebook Share Button Plugin, Youtube Embed, Mailgun, Form Html Element, Youtube, _("Responsive"), Google Site Verification, OneSignal, Popper 1.14, Intercom, Bootstrap 485f6940483b2ee6b32edf5c8dd8abb508bf633b, Blog, _("Online_Store"), Castle Accont Takeout Prevention, Gmail, Bootstrap 3.1, Linkedin, Javascript, Facebook, TLS v1.1</t>
  </si>
  <si>
    <t>Proposales AB</t>
  </si>
  <si>
    <t>Järnvägsgatan 7</t>
  </si>
  <si>
    <t>proposales.com</t>
  </si>
  <si>
    <t>B2B,B2C,Software,Information Technology,Customer Service,SaaS,Hospitality</t>
  </si>
  <si>
    <t>https://app.vainu.io/vainu/prospect/1072460536/</t>
  </si>
  <si>
    <t>Global Site Tag, PHP, Teamtailor, Ziggeo, Font awesome, React, Instagram, TLS v1.2, Google analytics, Website, section.io, SSL/TLS, Jquery, Mailchimp, Twitter, Fontfaceobserver, Stimulus, Wistia, Google maps, Cloudflare Browser Insights, Cloudflare, Webpack, Tab Icon, Google tag manager, Varnish, Ruby, Hubspot Meetings Plugin, Postmark, TLS v1.0, Next.js, Slack, Heroku, Node.js, Facebook Like Button Plugin, Vercel, Facebook Share Button Plugin, Form Html Element, Vimeo, Linkedin, _("Responsive"), Intercom, Blog, Rackcache, Castle Accont Takeout Prevention, Gmail, Hubspot Sales, Youtube Embed, Javascript, Facebook, TLS v1.1</t>
  </si>
  <si>
    <t>QNova Systems AB</t>
  </si>
  <si>
    <t>Elsa Brändströms Gata 6</t>
  </si>
  <si>
    <t>LINKÖPING</t>
  </si>
  <si>
    <t>qnova.se</t>
  </si>
  <si>
    <t>Software,Information Technology,Document Management,SaaS,Legal,Enterprise Software</t>
  </si>
  <si>
    <t>https://app.vainu.io/vainu/prospect/1237169/</t>
  </si>
  <si>
    <t>Global Site Tag, PHP, Underscore.js 1.8, Bootstrap, Font awesome, Gravatar, Website, Google analytics, Office365 email, Jquery, Twitter, Litespeed, Outlook, Office 365, Leadfeeder, Microsoft exchange, Underscore.js, Litespeed Cache, Yoast SEO, Wordpress, jQuery Migrate, Google tag manager, Lotus domino, Modernizr, WordPress 5.6, Sustainability Report, Google font api, Java, Detectify, Form Html Element, Vimeo, Yoast SEO 17.1, Mysql, Youtube, Lotus-domino, _("Responsive"), Google Site Verification, WordPress 5, Contact Form 7 Wordpress Plugin, Jquery ui, Linkedin, Javascript, Facebook</t>
  </si>
  <si>
    <t>Qiwio AB</t>
  </si>
  <si>
    <t>Storgatan 36</t>
  </si>
  <si>
    <t>HALMSTAD</t>
  </si>
  <si>
    <t>qiwio.io</t>
  </si>
  <si>
    <t>Advertising,Content Delivery Network,B2C,Video Advertising,Software,Video,Video Chat,Content Discovery,Internet,Marketing,SaaS,Video Streaming</t>
  </si>
  <si>
    <t>https://app.vainu.io/vainu/prospect/1627667093/</t>
  </si>
  <si>
    <t>Global Site Tag, PHP, Google adwords, Linkedin Analytics / Advertisement Pixel, Force.com, TLS v1.2, Google analytics, SiteGround, Website, SSL/TLS, Jquery, Instafeed, Adobe Typekit, Elementor, Wistia, Cloudflare, Tab Icon, Wordpress, Google tag manager, Typeform, TLS v1.0, Linkedin Data Partner, Linkedin Insight Tag, Facebook pixel, Form Html Element, Mysql, Azure Edge, Typekit, Google Site Verification, _("Responsive"), Monsterinsights, Gmail, Recaptcha, Sendgrid, Moove Cookie Consent, Javascript, Facebook, TLS v1.1</t>
  </si>
  <si>
    <t>Qnister AB</t>
  </si>
  <si>
    <t>Kyrkogatan 4</t>
  </si>
  <si>
    <t>https://www.qnister.com/</t>
  </si>
  <si>
    <t>Compliance,GDPR,Software,Data Protection,Ediscovery,Privacy,Information Technology,Cyber Security,SaaS,Security,Data Security</t>
  </si>
  <si>
    <t>https://app.vainu.io/vainu/prospect/625305769/</t>
  </si>
  <si>
    <t>PHP, Bootstrap, Font awesome, Instagram, Gravatar, Website, Office365 email, Jquery, Outlook, Office 365, Microsoft exchange, Cloudflare, Yoast SEO, Wordpress, Tab Icon, jQuery Migrate, Google tag manager, Html5, Yoast SEO 14.7, Google font api, Popper, Cookiebot, Popper 1.12, Form Html Element, English, Mysql, Bootstrap 4.0, _("Responsive"), Google Site Verification, Recaptcha, Contact Form 7 Wordpress Plugin, Linkedin, Javascript, Facebook</t>
  </si>
  <si>
    <t>Qualifier Sweden AB</t>
  </si>
  <si>
    <t>Sommargatan 101A</t>
  </si>
  <si>
    <t>https://qualifier.ai/</t>
  </si>
  <si>
    <t>Artificial Intelligence,Sales Automation,B2B,B2C,Software,Information Technology,SaaS,Sales,Machine Learning</t>
  </si>
  <si>
    <t>https://app.vainu.io/vainu/prospect/1637958/</t>
  </si>
  <si>
    <t>Global Site Tag, PHP, Instagram, Smartyads, TLS v1.2, Website, Force.com, SSL/TLS, Jquery, Flash video, Wistia, Amazon CloudFront, Cloudflare, Tab Icon, Google tag manager, Html5, TLS v1.0, Stripe Online Payments, GoToWebinar, Google font api, Hubspot CMS, Heap, Swedish, Hubspot Customer Feedback, Amazon web services, Form Html Element, Vimeo, English, Linkedin, Hubspot Live Chat, HubSpot CMS Hub, _("Responsive"), Google Site Verification, Gmail, Hubspot, Hubspot Forms, Youtube Embed, Javascript, Facebook, TLS v1.1</t>
  </si>
  <si>
    <t>Quickchannel AB</t>
  </si>
  <si>
    <t>Österlånggatan 43 4tr</t>
  </si>
  <si>
    <t>quickchannel.se</t>
  </si>
  <si>
    <t>Content Delivery Network,Software,Video,Information Technology,Video Chat,Real Time,Enterprise Software,SaaS,Video Conferencing,Security,Video Streaming</t>
  </si>
  <si>
    <t>https://app.vainu.io/vainu/prospect/1328677/</t>
  </si>
  <si>
    <t>Instagram, Website, Office365 email, Jquery, Outlook, Office 365, Microsoft exchange, Amazon CloudFront, Cloudflare, Tab Icon, Google tag manager, GoToWebinar, Google font api, Hubspot CMS, Finnish, Amazon web services, Form Html Element, English, HubSpot CMS Hub, _("Responsive"), Google Site Verification, Hubspot, Hubspot Forms, Linkedin, Javascript, Facebook</t>
  </si>
  <si>
    <t>Quinyx AB</t>
  </si>
  <si>
    <t>Vattugatan 17</t>
  </si>
  <si>
    <t>quinyx.com</t>
  </si>
  <si>
    <t>https://app.vainu.io/vainu/prospect/1602735/</t>
  </si>
  <si>
    <t>PHP, Google adwords, Google Shopping, Ziggeo, Doubleclick, Font awesome, Bootstrap, Instagram, Linkedin Analytics / Advertisement Pixel, TLS v1.2, Google analytics, Teamtailor, section.io, Mailchimp, Jquery, SSL/TLS, Danish, Twitter, Website, Dutch, Oracle marketing cloud, Fontfaceobserver, Salesforce, Stimulus, Office 365, Google maps, Linkedin Jobs Plugin, Snowplow, Amazon CloudFront, Cloudflare, Tab Icon, Google tag manager, Google Conversion, Ruby, Varnish, Html5, Google play, TLS v1.0, Linkedin Data Partner, German, Linkedin Insight Tag, Heroku, GoToWebinar, Google font api, Addthis, Facebook Like Button Plugin, Hubspot CMS, Salesforce Community, Swedish, Hubspot Email, Finnish, Vidyard, Facebook Share Button Plugin, Google remarketing, Amazon web services, TLS v1.1, Vimeo, Form Html Element, Norwegian, Linkedin Sign-in, English, Youtube, Youtube Embed, HubSpot CMS Hub, _("Responsive"), Google Site Verification, Rackcache, Hubspot Marketing Hub, Gmail, Hubspot, Hubspot Forms, Linkedin, Vue.js, Javascript, Facebook, AMP</t>
  </si>
  <si>
    <t>ReQtest AB</t>
  </si>
  <si>
    <t>Mailbox 375</t>
  </si>
  <si>
    <t>reqtest.com</t>
  </si>
  <si>
    <t>Developer Platform,Enterprise Applications,Software,Consumer Software,Product Management,Information Technology,Application Performance Management,Project Management,Test and Measurement,Developer Tools,SaaS,Management Information Systems,Enterprise,Collaboration,Productivity Tools,Enterprise Software</t>
  </si>
  <si>
    <t>https://app.vainu.io/vainu/prospect/1394323/</t>
  </si>
  <si>
    <t>Global Site Tag, PHP, Bootstrap, Font awesome, TLS v1.2, Google analytics, Website, Office365 email, SSL/TLS, Jquery, Mailchimp, Twitter, Outlook, Office 365, Microsoft exchange, Tab Icon, Wordpress, jQuery Migrate, Google tag manager, Html5, Modernizr, Slack, Pinterest, Stripe Online Payments, GoToWebinar, Google font api, Lightbox, Hubspot CMS, Hubspot Email, animate.css, New relic, Facebook Share Button Plugin, Youtube Embed, Form Html Element, Stripe, Vimeo, Mysql, Youtube, Google Plus, Segment, _("Responsive"), WordPress 5, Intercom, _("Online_Store"), Apache, Hubspot Marketing Hub, Recaptcha, Contact Form 7 Wordpress Plugin, Hubspot, Hubspot Forms, Linkedin, Javascript, Facebook</t>
  </si>
  <si>
    <t>ReadSpeaker AB</t>
  </si>
  <si>
    <t>Västra Ågatan 16</t>
  </si>
  <si>
    <t>readspeaker.com/sv/</t>
  </si>
  <si>
    <t>Artificial Intelligence,Software,Semantic Web,Information Technology,Product Search,SaaS,Knowledge Management,Speech Recognition</t>
  </si>
  <si>
    <t>https://app.vainu.io/vainu/prospect/1548626/</t>
  </si>
  <si>
    <t>Global Site Tag, Polish, Google adwords, PHP, Font awesome, Linkedin Analytics / Advertisement Pixel, TLS v1.2, Google analytics, Website, SSL/TLS, Jquery, Min, Twitter, Plyr, Dutch, Wp rocket, WP Engine, Salesforce, Adobe Typekit, Crazy egg, Korean, Tab Icon, Wordpress, Google tag manager, Readerspeaker, Arabic, Latvian, Hotjar, Linkedin Data Partner, Slack, German, Portuguese, Linkedin Insight Tag, GoToWebinar, Google font api, Hubspot CMS, Facebook pixel, Nginx, Swedish, Popper, Finnish, Popper 1.12, Mailgun, Japanese, Norwegian, Youtube Embed, Vimeo, Form Html Element, English, Mysql, Javascript, Youtube, Plyr 3.5, _("Responsive"), Google Site Verification, Italian, Spanish, Gmail, Hubspot, Chinese, Hubspot Forms, Linkedin, French, Facebook</t>
  </si>
  <si>
    <t>Sv, En, Pt, It, De, Nl, Nb, Ar, Fr, Zh, Lv, Es, Pl, Fi</t>
  </si>
  <si>
    <t>Refensa AB</t>
  </si>
  <si>
    <t>Karlsviksgatan 13</t>
  </si>
  <si>
    <t>refensa.se</t>
  </si>
  <si>
    <t>Recruiting,SaaS,Software,Human Resources</t>
  </si>
  <si>
    <t>https://app.vainu.io/vainu/prospect/1130075769/</t>
  </si>
  <si>
    <t>Booking Widget (All), Cloudflare, TLS v1.2, Website, Gmail, Recaptcha, SSL/TLS, Tab Icon, Google Site Verification, jsDelivr, Form Html Element, MailJet, TLS v1.0, Slack, Javascript, _("Responsive"), TLS v1.1</t>
  </si>
  <si>
    <t>Regtech Solutions AB</t>
  </si>
  <si>
    <t>Box 16404</t>
  </si>
  <si>
    <t>regtech.se</t>
  </si>
  <si>
    <t>Compliance,Software,FinTech,Risk Management,Information Technology,Financial Services</t>
  </si>
  <si>
    <t>https://app.vainu.io/vainu/prospect/1291260459/</t>
  </si>
  <si>
    <t>PHP, Apache 2.4, Vkontakte, Bootstrap, Font awesome, Gravatar, Website, Office365 email, Jquery, Tumblr, SharpSpring 1.1, Swiper Slider, Outlook, Yoast SEO 15.3, Sharpspring, Elementor, Office 365, Microsoft exchange, Yoast SEO, Wordpress, Tab Icon, Google tag manager, Html5, Centos, Google font api, Nginx, SharpSpring 2.0, Whatsapp Website Icon, Form Html Element, Vimeo, Flickr, Mysql, Google Plus, _("Responsive"), Google Site Verification, WordPress 5, WordPress 5.5, Apache, nginx 1.6, Linkedin, Javascript, Facebook</t>
  </si>
  <si>
    <t>Roaring Apps AB</t>
  </si>
  <si>
    <t>Propellervägen 4B</t>
  </si>
  <si>
    <t>TÄBY</t>
  </si>
  <si>
    <t>roaring.io</t>
  </si>
  <si>
    <t>API,Compliance,Software,FinTech,Information Technology,SaaS,Financial Services,Data Integration,Legal</t>
  </si>
  <si>
    <t>https://app.vainu.io/vainu/prospect/111575074/</t>
  </si>
  <si>
    <t>PHP, Google adwords, Svea Webpay, Font awesome, Facebook Likebox Plugin, Google analytics, Quantserve, Website, Jquery, Google adsense, Office 365, Spot.Im / Disgus, Amazon CloudFront, Crazy egg, Freshdesk Freshchat, Wordpress, Linkedin Insight Tag, AmazonS, Google font api, Facebook pixel, Norwegian, English, WordPress 5, Apache, Castle Accont Takeout Prevention, Sydney 5.7, Global Site Tag, Gravatar, TLS v1.2, Mailchimp, Danish, Albacross, Optimizely, elevio, Google tag manager, Bidswitch, Xhtml, WordPress 5.7, Chartbeat, Elfsight, Adnxs, Nginx, Swedish, Amazon web services, Vimeo, _("Responsive"), Google Site Verification, Intercom, Gmail, Linkedin, Facebook, Linkedin Analytics / Advertisement Pixel, Twitter, Olark, Oracle marketing cloud, Flash video, Livefyre, Sharpspring, Google maps, Tab Icon, jQuery Migrate, Adroll, Taboola, Thetradedesk / Adbrain, Adobe media optimizer, Mysql, Typekit, Adform, Bootstrap, Doubleclick, SSL/TLS, Albacross Analytics, Arbor, Adobe Typekit, Outbrain, Flash, Html5, Linkedin Data Partner, Facebook Like Button Plugin, Form Html Element, Youtube, Segment, Sydney, Adobe Audience Manager, User Voice, Youtube Embed, Javascript, Azalead</t>
  </si>
  <si>
    <t>Rule Communication - Nordic AB</t>
  </si>
  <si>
    <t>Kammakargatan 48</t>
  </si>
  <si>
    <t>rule.se</t>
  </si>
  <si>
    <t>Advertising,SMS,Software,Internet,Marketing,SaaS,Developer APIs</t>
  </si>
  <si>
    <t>https://app.vainu.io/vainu/prospect/1208656/</t>
  </si>
  <si>
    <t>Global Site Tag, PHP, Vkontakte, Bootstrap, Font awesome, Help Scout, TLS v1.2, Google analytics, Slick, Website, SSL/TLS, Jquery, Tumblr, Swiper Slider, Elementor, Cloudflare Browser Insights, Cloudflare, Carismar, Tab Icon, Wordpress, jQuery Migrate, Google tag manager, Html5, TLS v1.0, Astra 3.7, Bootstrap 4.3, Weglot, Jimdo, Google font api, Nginx, New relic, Shopify, Astra, Form Html Element, Whatsapp Website Icon, Vimeo, Mysql, jsDelivr, Google Plus, _("Responsive"), Google Site Verification, WordPress 5, Camelonta Myvisitors, Opencart, _("Online_Store"), Gmail, Recaptcha, Astra 3.6, Openresty, Slick 1.6, Linkedin, Javascript, Facebook, TLS v1.1</t>
  </si>
  <si>
    <t>SPECTER AB</t>
  </si>
  <si>
    <t>Södra Hamnen 27</t>
  </si>
  <si>
    <t>SKÄRHAMN</t>
  </si>
  <si>
    <t>specter.se</t>
  </si>
  <si>
    <t>Enterprise Resource Planning (ERP),B2B,Software,Information Technology,SaaS,E-Commerce,Retail,Enterprise Software</t>
  </si>
  <si>
    <t>https://app.vainu.io/vainu/prospect/1560966/</t>
  </si>
  <si>
    <t>PHP, Apache 2.4, Bootstrap, Svea Webpay, Font awesome, Gravatar, TLS v1.2, Google analytics, Website, Mailchimp, SSL/TLS, Jquery, Twitter, Visa, W3 total cache, Salesforce, Microsoft asp.net, Varnish 5.2, Wistia, Carismar, Yoast SEO, Wordpress, Varnish, Tab Icon, Google tag manager, Hotjar, Bootstrap 4.3, Slack, Debian, Google font api, Facebook pixel, Classic asp, Form Html Element, Vimeo, Yoast SEO 17.1, Mysql, Linkedin, Youtube, _("Responsive"), Google Site Verification, WordPress 5, Zendesk, _("Online_Store"), Apache, Gmail, Recaptcha, Sitedirect, Youtube Embed, Active Campaign, Javascript, Facebook, Klarna</t>
  </si>
  <si>
    <t>SalesByte AB</t>
  </si>
  <si>
    <t>Kåhögsvägen 2</t>
  </si>
  <si>
    <t>JONSERED</t>
  </si>
  <si>
    <t>salesbyte.se</t>
  </si>
  <si>
    <t>Artificial Intelligence,Sales Automation,Software,SaaS,E-Commerce,Machine Learning</t>
  </si>
  <si>
    <t>https://app.vainu.io/vainu/prospect/1996992000/</t>
  </si>
  <si>
    <t>Global Site Tag, PHP, Apache 2.4, Ubuntu, Bootstrap, Font awesome, Instagram, Smartyads, TLS v1.2, Google analytics, Divi 4.2, Website, SSL/TLS, Jquery, Laravel, WordPress 5.8, Flash video, Google maps, Cloudflare, Tab Icon, Wordpress, jQuery Migrate, Google tag manager, Flash, Livewire, TLS v1.0, Slack, Google font api, Form Html Element, Vimeo, Flickr, Mysql, Linkedin, _("Responsive"), Google Site Verification, Divi, WordPress 5, Rollbar, Apache, Gmail, Recaptcha, Trustpilot, Hubspot, Youtube Embed, Javascript, Facebook, TLS v1.1</t>
  </si>
  <si>
    <t>SalesScreen AB</t>
  </si>
  <si>
    <t>Starkmansgatan 4</t>
  </si>
  <si>
    <t>UPPLANDS VÄSBY</t>
  </si>
  <si>
    <t>https://www.salesscreen.com/</t>
  </si>
  <si>
    <t>CRM,B2B,Software,Gamification,SaaS,Data Visualization,Sales</t>
  </si>
  <si>
    <t>https://app.vainu.io/vainu/prospect/775297710/</t>
  </si>
  <si>
    <t>Global Site Tag, PHP, Ipify, Teamtailor, Ziggeo, Font awesome, Linkedin Analytics / Advertisement Pixel, Instagram, React, TLS v1.2, Google analytics, Website, Office365 email, section.io, SSL/TLS, Jquery, Gatsby 3.5, Twitter, Windows-Azure-Web 1.0, Pardot, Gatsby, Outlook, Fontfaceobserver, Stimulus, Adobe Typekit, Bizible, Office 365, Google maps, Polyfill, Microsoft exchange, Webpack, Microsoft-Httpapi 2.0, Microsoft HTTPAPI 2.0, Tab Icon, Google tag manager, Varnish, G2 Crowd Conversion Tracking, Ruby, Html5, Hotjar, Linkedin Data Partner, Google Optimize, Linkedin Insight Tag, Facebook Page Plugin, Microsoft HTTPAPI, Fastly, Facebook Like Button Plugin, Google font api, Heroku, Facebook pixel, Nginx, Salesforce marketing cloud, Facebook Share Button Plugin, Youtube Embed, Microsoft azure, Form Html Element, Vimeo, Azure Edge, Demandbase, _("Responsive"), Google Site Verification, Atlassian Statuspage, Intercom, to, Rackcache, Windows-Azure-Web, Quora, Recaptcha, Microsoft-HTTPAPI, Sendgrid, Linkedin, Javascript, Facebook</t>
  </si>
  <si>
    <t>Scancloud AB</t>
  </si>
  <si>
    <t>Ringvägen 2</t>
  </si>
  <si>
    <t>scancloud.se</t>
  </si>
  <si>
    <t>Software,Information Technology,Document Management,SaaS,Billing</t>
  </si>
  <si>
    <t>https://app.vainu.io/vainu/prospect/1374232/</t>
  </si>
  <si>
    <t>PHP, Bootstrap, MasterCard, Smartyads, TLS v1.2, Google analytics, Gravatar, Microsoft IIS, SSL/TLS, Jquery, Website, Icepay, Visa, Outlook, Microsoft asp.net, Wordpress 4.9, Microsoft exchange, Yoast SEO 12.3, Yoast SEO, Wordpress, Kestrel, jQuery Migrate, Html5, Slack, American Express, Wordpress 4, Upsales Crm, Google font api, Microsoft azure, Microsoft Word, Form Html Element, Vimeo, BidTheatre, Mysql, Linkedin, Youtube, _("Responsive"), Google Site Verification, Zendesk, _("Online_Store"), Gmail, Youtube Embed, Moove Cookie Consent, Javascript, Facebook, Microsoft IIS 8.5</t>
  </si>
  <si>
    <t>Schoolity AB</t>
  </si>
  <si>
    <t>Strandvägen 83</t>
  </si>
  <si>
    <t>schoolity.se</t>
  </si>
  <si>
    <t>EdTech,Information Technology,Education,Software</t>
  </si>
  <si>
    <t>https://app.vainu.io/vainu/prospect/1347903/</t>
  </si>
  <si>
    <t>Apple App Store, Google font api, Google Frontend, Google app engine, Website, Google analytics, Gmail, Tab Icon, Google tag manager, Mailchimp, _("Responsive"), Google play, Form Html Element, Visa, Slack, Javascript, Facebook, Google Site Verification</t>
  </si>
  <si>
    <t>Scrive AB</t>
  </si>
  <si>
    <t>Grev Turegatan 11A</t>
  </si>
  <si>
    <t>https://www.scrive.com/</t>
  </si>
  <si>
    <t>Blockchain,API,Operating Systems,Consumer Software,Software,SMS,Identity Management,Information Technology,Finance,Document Management,Email,SaaS,Enterprise,Telecommunications,Business Information Systems,Retail,Security</t>
  </si>
  <si>
    <t>https://app.vainu.io/vainu/prospect/1500263/</t>
  </si>
  <si>
    <t>Facebook Domain Verification, GitHub Pages, PHP, Teamtailor, Ziggeo, Font awesome, Norwegian, Instagram, Gravatar, TLS v1.2, Google analytics, Website, section.io, SSL/TLS, Jquery, Ruby on rails, Danish, Twitter, Dutch, Flash video, Fontfaceobserver, Stimulus, Office 365, Wistia, Atlassian Domain Verification, Google maps, Cloudflare, Github.com, Leadoo, Tab Icon, Wordpress, Varnish, jQuery Migrate, Google tag manager, Html5, Ruby, WordPress 5.7, German, French, Heroku, Fastly, Facebook Like Button Plugin, Google font api, Nginx, Swedish, Finnish, Facebook Share Button Plugin, Youtube Embed, Amazon web services, Mailgun, Form Html Element, Vimeo, English, Mysql, Pendo, Youtube, ZOOM, _("Responsive"), Google Site Verification, WordPress 5, Hubspot Analytics, Rackcache, Gmail, Hubspot, Gravity Forms, Linkedin, Javascript, Facebook</t>
  </si>
  <si>
    <t>En, Da, Nl, Fr, Fi</t>
  </si>
  <si>
    <t>Sekando AB</t>
  </si>
  <si>
    <t>Fredsgatan 9B</t>
  </si>
  <si>
    <t>sekando.se</t>
  </si>
  <si>
    <t>B2B,Software,Information Technology,Social Recruiting,Human Resources,Internet,SaaS,Marketplace,Recruiting</t>
  </si>
  <si>
    <t>https://app.vainu.io/vainu/prospect/2138699697/</t>
  </si>
  <si>
    <t>Instagram, TLS v1.2, Website, SSL/TLS, Svelte, Cloudflare, TLS v1.0, Heroku, Node.js, Google font api, jsDelivr, Form Html Element, Vimeo, _("Responsive"), Gmail, Sapper, Linkedin, Javascript, TLS v1.1</t>
  </si>
  <si>
    <t>Selfpoint Sverige AB</t>
  </si>
  <si>
    <t>Adelgatan 2</t>
  </si>
  <si>
    <t>selfpoint.se</t>
  </si>
  <si>
    <t>https://app.vainu.io/vainu/prospect/112191464/</t>
  </si>
  <si>
    <t>PHP, Linkedin Analytics / Advertisement Pixel, Website, Google analytics, Office365 email, Jquery, Visa, Outlook, Salesforce, Google maps, Microsoft exchange, Yoast SEO, Wordpress, Linkedin Data Partner, Slack, Linkedin Insight Tag, Facebook pixel, Form Html Element, Mysql, Yoast SEO 4.7, _("Responsive"), Apache, Box, Gravity Forms, Linkedin, Javascript, Facebook</t>
  </si>
  <si>
    <t>Sv, No</t>
  </si>
  <si>
    <t>Seven Time AB</t>
  </si>
  <si>
    <t>Utflyttarvägen 103</t>
  </si>
  <si>
    <t>BÅSTAD</t>
  </si>
  <si>
    <t>seventime.se</t>
  </si>
  <si>
    <t>Consumer Software,Software,Information Technology,Software Engineering,Real Time,Internet,SaaS,Management Information Systems,Productivity Tools,Enterprise Software,Developer APIs</t>
  </si>
  <si>
    <t>https://app.vainu.io/vainu/prospect/1539024/</t>
  </si>
  <si>
    <t>Global Site Tag, GitHub Pages, PHP, Bootstrap, Gravatar, TLS v1.2, Google analytics, Website, Mailchimp, SSL/TLS, Jquery, Ruby on rails, Twitter, Visa, Elementor, Nginx 1.14, Apple App Store, Cloudflare, Github.com, Tab Icon, Wordpress, Varnish, Google tag manager, Ruby, Google play, Postmark, TLS v1.0, WordPress 5.6, Sustainability Report, Fastly, Node.js, Google font api, Facebook pixel, Nginx, Swedish, Express, Form Html Element, English, Mysql, Youtube, _("Responsive"), WordPress 5, Zendesk, Linkedin, Javascript, Facebook, TLS v1.1</t>
  </si>
  <si>
    <t>Sharpfin AB</t>
  </si>
  <si>
    <t>Malmskillnadsgatan 32</t>
  </si>
  <si>
    <t>sharpfin.com</t>
  </si>
  <si>
    <t>Software,FinTech,Risk Management,Finance,Information Technology,Wealth Management,Financial Services</t>
  </si>
  <si>
    <t>https://app.vainu.io/vainu/prospect/2766657/</t>
  </si>
  <si>
    <t>React, TLS v1.2, Google analytics, Website, SSL/TLS, Gatsby, Office 365, Webpack, Tab Icon, Html5, TLS v1.0, Google font api, Netlify, Form Html Element, Gatsby 3.6, _("Responsive"), Google Site Verification, Gmail, Linkedin, Javascript, Facebook, TLS v1.1</t>
  </si>
  <si>
    <t>Sharpio AB</t>
  </si>
  <si>
    <t>sharpio.se</t>
  </si>
  <si>
    <t>Software,FinTech,Finance,Information Technology,Financial Services</t>
  </si>
  <si>
    <t>https://app.vainu.io/vainu/prospect/1340440/</t>
  </si>
  <si>
    <t>PHP, Apache 2.4, Vkontakte, Ubuntu, Font awesome, TLS v1.2, Website, Yoast SEO 13.2, SSL/TLS, Jquery, Tumblr, Swiper Slider, Outlook, Elementor, Office 365, Microsoft exchange, Yoast SEO, Wordpress, Tab Icon, jQuery Migrate, Google tag manager, Html5, TLS v1.0, Google font api, Whatsapp Website Icon, Form Html Element, Vimeo, Mysql, Google Plus, _("Responsive"), Google Site Verification, WordPress 5, Apache, WordPress 5.3, Elementor 3.2, Javascript, Facebook, TLS v1.1</t>
  </si>
  <si>
    <t>Simple Sign International AB</t>
  </si>
  <si>
    <t>Lästmakargatan 10</t>
  </si>
  <si>
    <t>https://simplesign.se/</t>
  </si>
  <si>
    <t>API,Consumer Software,Software,Information Technology,Contact Management,Document Management,Internet,SaaS,Enterprise,Legal,Developer APIs</t>
  </si>
  <si>
    <t>https://app.vainu.io/vainu/prospect/1566733/</t>
  </si>
  <si>
    <t>PHP, Bootstrap, Font awesome, Gravatar, TLS v1.2, Website, Slick, SSL/TLS, Jquery, Twitter, Swiper Slider, Elementor, Office 365, Leadfeeder, Underscore.js, Tab Icon, Wordpress, jQuery Migrate, Google tag manager, SweetAlert, Xhtml, Pinterest, Google Pay, Google font api, animate.css, Facebook Share Button Plugin, Youtube Embed, Mailgun, Form Html Element, Vimeo, Mysql, Google Plus, _("Responsive"), Google Site Verification, Intercom, Apache, Contact Form 7 Wordpress Plugin, Linkedin, Javascript, Facebook, AMP</t>
  </si>
  <si>
    <t>Sinch AB (publ)</t>
  </si>
  <si>
    <t>Lindhagensgatan 74, vån 7</t>
  </si>
  <si>
    <t>sinch.com</t>
  </si>
  <si>
    <t>API,Artificial Intelligence,Mobile Advertising,B2C,Software,SMS,Messaging,Video,Information Technology,VoIP,Video Chat,Real Time,Mobile,SaaS,Telecommunications,Developer APIs</t>
  </si>
  <si>
    <t>https://app.vainu.io/vainu/prospect/2200665/</t>
  </si>
  <si>
    <t>PHP, Bootstrap, Workable, Linkedin Analytics / Advertisement Pixel, Instagram, WeCloud, TLS v1.2, Google analytics, OpenResty 1.19, Office365 email, SSL/TLS, Gravatar, Jquery, Website, Twitter, Mailchimp, React, Pardot, Gatsby, WP Engine, Outlook, Wp rocket, Microsoft exchange, Zurb foundation, Drupal, Amazon CloudFront, Gatsby 3.2, Webpack, Yoast SEO 16.1, Yoast SEO, Wordpress, Tab Icon, Cookielaw, jQuery Migrate, Html5, Google tag manager, TLS v1.0, Modernizr, Hotjar, Optanon Cookie Consent, Addthis, Drift Chat, Nginx, Angularjs, New relic, Salesforce marketing cloud, Amazon web services, Form Html Element, Vimeo, Mapbox GL JS, Mysql, _("Responsive"), Google Site Verification, Nginx 1.20, Extranet, Adobe Creative Cloud Assets, Apache, Drupal 9, Adyen, Docusign, Openresty, Linkedin, Javascript, Facebook, TLS v1.1</t>
  </si>
  <si>
    <t>SiteVision AB</t>
  </si>
  <si>
    <t>Drottninggatan 18 A</t>
  </si>
  <si>
    <t>https://www.sitevision.se/</t>
  </si>
  <si>
    <t>Open Source,API,Developer Platform,Enterprise Applications,Software,Personalization,Consumer Software,Database,Application Performance Management,Information Technology,Internet,PaaS,Web Development,Developer Tools,Management Information Systems,MySQL,Enterprise Software,Developer APIs</t>
  </si>
  <si>
    <t>https://app.vainu.io/vainu/prospect/1440633/</t>
  </si>
  <si>
    <t>PHP, Teamtailor, React, Intranet, Smartyads, TLS v1.2, Google analytics, Website, section.io, SSL/TLS, Jquery, Mailchimp, Twitter, Pardot, Javadoc, Salesforce, Wistia, Google maps, Twitter Ads, Topdesk, Vizzit, Tab Icon, Google tag manager, Varnish, Ruby, Flash, Html5, TLS v1.0, Glyphicons, Hotjar, Slack, Facebook Page Plugin, Heroku, Google font api, Addthis, Facebook pixel, Swedish, Salesforce marketing cloud, Dream broker, Norwegian, Form Html Element, English, Linkedin, Youtube, _("Responsive"), Google Site Verification, Sitevision, Rackcache, Castle Accont Takeout Prevention, Gmail, Recaptcha, Youtube Embed, Javascript, Facebook, TLS v1.1</t>
  </si>
  <si>
    <t>Sitoo AB</t>
  </si>
  <si>
    <t>Regeringsgatan 25</t>
  </si>
  <si>
    <t>sitoo.com</t>
  </si>
  <si>
    <t>B2C,Software,Information Technology,Retail Technology,Product Search,Point of Sale,SaaS,E-Commerce,Retail</t>
  </si>
  <si>
    <t>https://app.vainu.io/vainu/prospect/1380820/</t>
  </si>
  <si>
    <t>PHP, MasterCard, Font awesome, Svea Webpay, SE, Website, Google analytics, section.io, Jquery, Wordpress, Varnish, Linkedin Insight Tag, Google font api, Hubspot CMS, Norwegian, English, Atlassian Statuspage, Teamtailor, Instagram, Gravatar, Danish, Wp rocket, Stimulus, Cloudflare, Samsung Pay, Google tag manager, German, Heroku, Fastly, Nginx, Swedish, Facebook Share Button Plugin, Amazon web services, Vimeo, HubSpot CMS Hub, _("Responsive"), Google Site Verification, Hubspot Analytics, Gmail, Recaptcha, Linkedin, Facebook, TLS v1.1, Bootstrap 4.1, Ziggeo, React, Linkedin Analytics / Advertisement Pixel, Twitter, WP Engine, Google maps, Zurb foundation, Yoast SEO, Tab Icon, anz, Mysql, Typekit, Yoast SEO 14.1, Hubspot Ads Pixel, Bootstrap, SSL/TLS, Fontfaceobserver, Adobe Typekit, Apple Pay, Ruby, Html5, TLS v1.0, Linkedin Data Partner, GoToWebinar, Facebook Like Button Plugin, Zendesk Chat, Finnish, Form Html Element, Zendesk, Hubspot Leadflows, Rackcache, Hubspot, Hubspot Forms, Youtube Embed, Javascript</t>
  </si>
  <si>
    <t>Sv, No, En, Da, De, Nb, Fi</t>
  </si>
  <si>
    <t>Skovik AB</t>
  </si>
  <si>
    <t>Box 3307</t>
  </si>
  <si>
    <t>skovik.se</t>
  </si>
  <si>
    <t>Software,Transaction Processing,Information Technology,SaaS,Financial Services,Travel</t>
  </si>
  <si>
    <t>https://app.vainu.io/vainu/prospect/1283501/</t>
  </si>
  <si>
    <t>Website, Google analytics, Gmail, TLS v1.2, SSL/TLS, Jquery, Amazon web services, Html5, Form Html Element, Postmark, Linkedin, Javascript, _("Responsive"), Google Site Verification</t>
  </si>
  <si>
    <t>Smampion AB</t>
  </si>
  <si>
    <t>Emmabodavägen 9</t>
  </si>
  <si>
    <t>NYBRO</t>
  </si>
  <si>
    <t>smampion.se</t>
  </si>
  <si>
    <t>Software,Social Media,SaaS,Social Media Marketing,Analytics</t>
  </si>
  <si>
    <t>https://app.vainu.io/vainu/prospect/74427578/</t>
  </si>
  <si>
    <t>Nginx 1.18, PHP, Apache 2.4, Ubuntu, Doubleclick, Highcharts 7.0, Linkedin Analytics / Advertisement Pixel, Instagram, Font awesome, TLS v1.2, Google analytics, Highcharts, Website, SSL/TLS, Jquery, Twitter, Highcharts 6.2, Tab Icon, Wordpress, Slack, Bootstrap, Facebook Embedded Posts Plugin, Google font api, Nginx, animate.css, Form Html Element, jQuery UI 1.12, _("Responsive"), Google Site Verification, Apache, Jquery ui, Sendgrid, Javascript, Facebook</t>
  </si>
  <si>
    <t>SmartCraft Sweden AB</t>
  </si>
  <si>
    <t>https://app.vainu.io/vainu/prospect/111424147/</t>
  </si>
  <si>
    <t>Snabbfoting Group AB</t>
  </si>
  <si>
    <t>Box 11147</t>
  </si>
  <si>
    <t>https://snabbfoting.se/</t>
  </si>
  <si>
    <t>EdTech,Training,Information Technology,Education,SaaS,Consulting</t>
  </si>
  <si>
    <t>https://app.vainu.io/vainu/prospect/1204324864/</t>
  </si>
  <si>
    <t>Global Site Tag, PHP, TLS v1.2, Google analytics, Website, Mailchimp, SSL/TLS, Jquery, Twitter, WordPress 5.8, Flash video, Office 365, Underscore.js, Cloudflare, Tab Icon, Wordpress, jQuery Migrate, Google tag manager, Flash, Hubspot Meetings Plugin, TLS v1.0, Hotjar, Pinterest, GoToWebinar, Facebook Like Button Plugin, Google font api, Hubspot CMS, Hubspot Email, Facebook Share Button Plugin, Youtube Embed, Javascript, Form Html Element, Vimeo, Mysql, Youtube, Google Plus, _("Responsive"), Google Site Verification, Underscore.js 1.13, WordPress 5, Hubspot Analytics, Gmail, Hubspot, Hubspot Sales, Hubspot Forms, Linkedin, Hubspot Ads Pixel, Facebook, TLS v1.1</t>
  </si>
  <si>
    <t>SpeedLedger Aktiebolag</t>
  </si>
  <si>
    <t>Spanmålsgatan 19</t>
  </si>
  <si>
    <t>speedledger.se</t>
  </si>
  <si>
    <t>Software,Accounting,Information Technology,SaaS,Financial Services</t>
  </si>
  <si>
    <t>https://app.vainu.io/vainu/prospect/1468555/</t>
  </si>
  <si>
    <t>Global Site Tag, PHP, Vkontakte, Bootstrap, Instagram, OptinMonster, TLS v1.2, Google analytics, Gravatar, Website, SSL/TLS, Jquery, Amazon SES, Tumblr, Twitter, Mailchimp, Swiper Slider, Wp rocket, WP Engine, Elementor, Cloudflare, Tab Icon, Wordpress, jQuery Migrate, Google tag manager, Html5, TLS v1.0, Slack, Google Pay, Google font api, Nginx, Zendesk Chat, Youtube Embed, Amazon web services, jQuery UI 1.11, Whatsapp Website Icon, Form Html Element, Vimeo, Mysql, Google Plus, _("Responsive"), Google Sign-in, Google Site Verification, Zendesk, Opencart, Gravity Forms 2.5, _("Online_Store"), GSAP, Trustpilot, Gmail, Jquery ui, Gravity Forms, Linkedin, Active Campaign, Javascript, Facebook, TLS v1.1</t>
  </si>
  <si>
    <t>Speqta AB (publ)</t>
  </si>
  <si>
    <t>Kungsgatan 64, 3 TR</t>
  </si>
  <si>
    <t>speqta.com</t>
  </si>
  <si>
    <t>Advertising,B2C,Software,Digital Marketing,Internet,Semantic Search,Marketing,SaaS,Google,E-Commerce</t>
  </si>
  <si>
    <t>https://app.vainu.io/vainu/prospect/1286517/</t>
  </si>
  <si>
    <t>Global Site Tag, Facebook Domain Verification, PHP, Teamtailor, Ziggeo, Font awesome, Instagram, TLS v1.2, Google analytics, Website, section.io, SSL/TLS, Jquery, Amazon SES, Twitter, Fontfaceobserver, Apsis Marketing, Stimulus, Adobe Typekit, Linkedin Jobs Plugin, Google maps, Cloudflare, Tab Icon, Wordpress, Google tag manager, Html5, TLS v1.0, Sustainability Report, Facebook Page Plugin, Heroku, Facebook Like Button Plugin, Facebook pixel, Swedish, Facebook Share Button Plugin, Form Html Element, Vimeo, English, Linkedin, _("Responsive"), Google Site Verification, Gmail, Youtube Embed, cloudinary, Javascript, Facebook, TLS v1.1</t>
  </si>
  <si>
    <t>Spintr AB</t>
  </si>
  <si>
    <t>Fridhemsgatan 2</t>
  </si>
  <si>
    <t>https://www.spintr.com/</t>
  </si>
  <si>
    <t>Virtual Workforce,Software,Information Technology,Contact Management,Enterprise Software,SaaS,Social Media,Productivity Tools,Management Information Systems</t>
  </si>
  <si>
    <t>https://app.vainu.io/vainu/prospect/1360839/</t>
  </si>
  <si>
    <t>Facebook Domain Verification, PHP, Instagram, Intranet, Website, Google analytics, Office365 email, SSL/TLS, Jquery, Twitter, Outlook, Flash video, Office 365, Microsoft exchange, Amazon CloudFront, Cloudflare, Tab Icon, Google tag manager, Flash, Html5, TLS v1.0, AMP, GoToWebinar, Google font api, Hubspot CMS, Amazon web services, Form Html Element, Vimeo, Linkedin Sign-in, Linkedin, Youtube, HubSpot CMS Hub, _("Responsive"), Google Site Verification, Blog, Hubspot Marketing Hub, Hubspot, Hubspot Forms, Youtube Embed, Javascript, Facebook, TLS v1.1</t>
  </si>
  <si>
    <t>Startdeliver AB</t>
  </si>
  <si>
    <t>Kungsgatan 33</t>
  </si>
  <si>
    <t>startdeliver.com/</t>
  </si>
  <si>
    <t>Artificial Intelligence,Software,Customer Engagement,Customer Experience,Information Technology,Enterprise Software,Customer Service,SaaS,Management Information Systems,Analytics</t>
  </si>
  <si>
    <t>https://app.vainu.io/vainu/prospect/1072396938/</t>
  </si>
  <si>
    <t>Global Site Tag, Bootstrap 3.3, Bootstrap, Font awesome, React, Instagram, TLS v1.2, Google analytics, Slick, Website, Twitter typeahead.js, SSL/TLS, Jquery, Twitter, Wistia, Google maps, Amazon CloudFront, Cloudflare, Tab Icon, Google tag manager, TLS v1.0, AMP, Upsales Crm, GoToWebinar, Google font api, Hubspot CMS, Nginx, Calendly, Amazon web services, Slick 1.8, Form Html Element, Bootstrap 4.7, Vimeo, Linkedin Sign-in, BidTheatre, Moment.js, HubSpot CMS Hub, _("Responsive"), Google Site Verification, Intercom, Hubspot Marketing Hub, Gmail, Castle Accont Takeout Prevention, Hubspot, Hubspot Forms, Openresty, Linkedin, Javascript, Facebook, TLS v1.1</t>
  </si>
  <si>
    <t>Storegate AB</t>
  </si>
  <si>
    <t>Pirgatan 13</t>
  </si>
  <si>
    <t>KARLSHAMN</t>
  </si>
  <si>
    <t>storegate.se</t>
  </si>
  <si>
    <t>File Sharing,Software,Information Technology,Cloud Computing,SaaS,Cloud Data Services,Enterprise Software</t>
  </si>
  <si>
    <t>https://app.vainu.io/vainu/prospect/1477159/</t>
  </si>
  <si>
    <t>PHP, Caldera Forms, Font awesome, Gravatar, Website, Office365 email, Twitter typeahead.js, Jquery, Twitter, Visa, Outlook, Flash video, Office 365, Google maps, Microsoft exchange, Apple App Store, Yoast SEO 15.6, Yoast SEO, Wordpress, Tab Icon, jQuery Migrate, Flash, Google play, Slack, Pinterest, Google font api, Nginx, animate.css, Form Html Element, Vimeo, English, Mysql, Linkedin, Youtube, _("Responsive"), OWL Carousel, Handlebars, Youtube Embed, Javascript, Facebook</t>
  </si>
  <si>
    <t>Storm Commerce AB</t>
  </si>
  <si>
    <t>Katarinavägen 15</t>
  </si>
  <si>
    <t>https://storm.io</t>
  </si>
  <si>
    <t>API,Consumer Software,B2B,B2C,Software,Information Technology,Product Search,Internet,E-Commerce Platforms,SaaS,E-Commerce,Enterprise Software</t>
  </si>
  <si>
    <t>https://app.vainu.io/vainu/prospect/1562918/</t>
  </si>
  <si>
    <t>PHP, Bootstrap, Font awesome, Instagram, TLS v1.2, Website, Office365 email, SSL/TLS, Jquery, Afterpay, Twitter, Outlook, Office 365, Microsoft exchange, Tab Icon, Wordpress, jQuery Migrate, Google tag manager, WordPress 5.7, Avarda, GoToWebinar, Google font api, Hubspot CMS, Hubspot Email, Nginx, Swedish, Dibs Payments, Facebook Share Button Plugin, Javascript, Form Html Element, English, Mysql, Bootstrap 4.5, Linkedin, Youtube, _("Responsive"), Google Site Verification, WordPress 5, Storm Commerce, Nginx 1.16, Blog, _("Online_Store"), Hubspot, Sendgrid, Hubspot Forms, Youtube Embed, Nginx 1.18, Facebook, Klarna</t>
  </si>
  <si>
    <t>Stratsys AB</t>
  </si>
  <si>
    <t>Brahegatan 10</t>
  </si>
  <si>
    <t>stratsys.se</t>
  </si>
  <si>
    <t>Software,Information Technology,Task Management,Project Management,Business Development,SaaS,Collaboration,Productivity Tools,Enterprise Software</t>
  </si>
  <si>
    <t>https://app.vainu.io/vainu/prospect/1524489/</t>
  </si>
  <si>
    <t>PHP, Bootstrap, Font awesome, Force.com, TLS v1.2, Website, Slick, Office365 email, SSL/TLS, Jquery, Brightcove, Twitter, Outlook, Salesforce, Apsis Marketing, Office 365, Microsoft exchange, Select2, Atlassian Domain Verification, Oribi Analytics, Amazon CloudFront, Cloudflare, Tab Icon, Google tag manager, Html5, Bootstrap 4.3, Slack, Sustainability Report, GoToWebinar, Google font api, Hubspot CMS, Hubspot Email, Heap, Vidyard, Amazon web services, Form Html Element, Linkedin Sign-in, Youtube, HubSpot CMS Hub, _("Responsive"), Google Site Verification, Facebook Workplace, Hubspot Marketing Hub, Hubspot, Sendgrid, Hubspot Forms, Linkedin, Javascript, Facebook</t>
  </si>
  <si>
    <t>Stravito AB</t>
  </si>
  <si>
    <t>stravito.com</t>
  </si>
  <si>
    <t>Artificial Intelligence,Crowdsourcing,B2C,Software,Semantic Web,Information Technology,Product Research,Product Search,Analytics,SaaS,Knowledge Management,Enterprise Software,Market Research,Machine Learning</t>
  </si>
  <si>
    <t>https://app.vainu.io/vainu/prospect/544281287/</t>
  </si>
  <si>
    <t>Global Site Tag, PHP, Google adwords, Dropbox, Font awesome, Intranet, Website, Google analytics, Mailchimp, SSL/TLS, Jquery, Amazon SES, Albacross Analytics, Twitter, Oracle marketing cloud, Salesforce, Leadfeeder, Amazon CloudFront, Cloudflare, Survicate, Tab Icon, Google tag manager, Html5, TLS v1.0, Slack, Pinterest, AMP, GoToWebinar, Google font api, Discover, Hubspot CMS, Hubspot Email, Detectify, scrollreveal, Vidyard, Amazon web services, Form Html Element, English, Linkedin Sign-in, Youtube, HubSpot CMS Hub, _("Responsive"), Blog, Gmail, Hubspot, Hubspot Forms, Linkedin, Javascript, Facebook, TLS v1.1</t>
  </si>
  <si>
    <t>Subiterum AB</t>
  </si>
  <si>
    <t>Västerled 9d</t>
  </si>
  <si>
    <t>subiterum.com</t>
  </si>
  <si>
    <t>Small and Medium Businesses,CRM,Sales Automation,B2B,Software,Information Technology,SaaS,Management Information Systems,Sales,Enterprise Software</t>
  </si>
  <si>
    <t>https://app.vainu.io/vainu/prospect/544284154/</t>
  </si>
  <si>
    <t>PHP, Gravatar, Website, Office365 email, Twitter, Outlook, Microsoft exchange, Tab Icon, Wordpress, Html5, Google font api, Nginx, Form Html Element, Mysql, _("Responsive"), WordPress ., Javascript, Facebook, AMP</t>
  </si>
  <si>
    <t>Substly AB</t>
  </si>
  <si>
    <t>Vera Sandbergs allé 5B</t>
  </si>
  <si>
    <t>substly.com</t>
  </si>
  <si>
    <t>Virtual Workforce,API,Small and Medium Businesses,B2B,Software,FinTech,Information Technology,Internet,SaaS,Financial Services,Billing</t>
  </si>
  <si>
    <t>https://app.vainu.io/vainu/prospect/650775339/</t>
  </si>
  <si>
    <t>Global Site Tag, PHP, Google adwords, Vkontakte, Bootstrap, MasterCard, Font awesome, Instagram, Gravatar, TLS v1.2, Google analytics, Website, Google app engine, SSL/TLS, Jquery, Mailchimp, Twitter, Visa, Litespeed, Google Frontend, Cloudflare, Litespeed Cache, Yoast SEO, Wordpress, Tab Icon, Google tag manager, Html5, TLS v1.0, Hotjar, Xhtml, Slack, American Express, Yoast SEO 14.7, GoToWebinar, Google font api, Hubspot CMS, Swedish, Hubspot Customer Feedback, Yoast SEO 17.2, Youtube Embed, Form Html Element, English, Mysql, Flickr, Youtube, Google Plus, HubSpot CMS Hub, _("Responsive"), Hubspot Marketing Hub, Gmail, Recaptcha, Contact Form 7 Wordpress Plugin, Hubspot, Sendgrid, Hubspot Forms, Oderland, Linkedin, Javascript, Facebook, TLS v1.1</t>
  </si>
  <si>
    <t>Svava AB</t>
  </si>
  <si>
    <t>Platensgatan 6B</t>
  </si>
  <si>
    <t>svava.io</t>
  </si>
  <si>
    <t>Virtual Workforce,Meeting Software,Software,Information Technology,Knowledge Management,Video Chat,SaaS,Management Information Systems,Collaboration,Productivity Tools,Enterprise Software</t>
  </si>
  <si>
    <t>https://app.vainu.io/vainu/prospect/113956962/</t>
  </si>
  <si>
    <t>Global Site Tag, Facebook Domain Verification, Font awesome, Linkedin Analytics / Advertisement Pixel, React, TLS v1.2, Google analytics, Website, Office365 email, SSL/TLS, Jquery, Afterpay, Twitter, Outlook, Stimulus, Adobe Typekit, Office 365, Microsoft exchange, Amazon CloudFront, Tab Icon, Google tag manager, Typeform, TLS v1.0, Linkedin Data Partner, Xhtml, Linkedin Insight Tag, iubenda, Facebook pixel, Nginx, Amazon web services, Microsoft azure, Form Html Element, Vimeo, _("Responsive"), Intercom, Castle Accont Takeout Prevention, Squarespace, Recaptcha, Linkedin, Javascript, Facebook, TLS v1.1</t>
  </si>
  <si>
    <t>Swinx AB</t>
  </si>
  <si>
    <t>Derbyvägen 6 E</t>
  </si>
  <si>
    <t>swinx.se</t>
  </si>
  <si>
    <t>https://app.vainu.io/vainu/prospect/1184250/</t>
  </si>
  <si>
    <t>PHP, Google adwords, Google Shopping, Doubleclick, TLS v1.2, Google analytics, Website, Microsoft IIS, SSL/TLS, Afterpay, Twitter, Outlook, Adobe Typekit, Office 365, Embed.Ly, Microsoft exchange, Microsoft IIS 7.5, Liveagent, Mail Anyone, Tab Icon, Google tag manager, Google Conversion, TLS v1.0, Xhtml, Google font api, Google remarketing, Microsoft Word, Form Html Element, Vimeo, Flickr, _("Responsive"), Google Site Verification, Squarespace, Youtube Embed, Javascript, Facebook, TLS v1.1</t>
  </si>
  <si>
    <t>Sygain AB</t>
  </si>
  <si>
    <t>Box 190</t>
  </si>
  <si>
    <t>sygain.se</t>
  </si>
  <si>
    <t>Software,Information Technology,Analytics,SaaS,Enterprise Software</t>
  </si>
  <si>
    <t>https://app.vainu.io/vainu/prospect/112061260/</t>
  </si>
  <si>
    <t>PHP, Font awesome, Force.com, Gravatar, TLS v1.2, Google analytics, Website, SSL/TLS, Jquery, Visa, Revslider, Wordpress super cache, Underscore.js, Yoast SEO, Wordpress, Tab Icon, jQuery Migrate, Google tag manager, TLS v1.0, Google font api, Facebook pixel, Nginx, Form Html Element, Yoast SEO 17.1, Mysql, Youtube, _("Responsive"), Google Site Verification, Underscore.js 1.13, WordPress 5, Gmail, Contact Form 7 Wordpress Plugin, Revslider 5.4, Youtube Embed, Javascript, Facebook, TLS v1.1</t>
  </si>
  <si>
    <t>Symbrio AB</t>
  </si>
  <si>
    <t>Östgötagatan 12</t>
  </si>
  <si>
    <t>symbrio.com</t>
  </si>
  <si>
    <t>https://app.vainu.io/vainu/prospect/1385674/</t>
  </si>
  <si>
    <t>Bootstrap, React, Instagram, Website, Google analytics, SSL/TLS, Jquery, Twitter, Outlook, Office 365, Microsoft exchange, Optimizely, Tab Icon, APSIS Lead, TLS v1.0, Hotjar, Slack, Adobe Analytics, Addthis, Pepyaka, lodash, Wix, Pepyaka 1.19, Facebook pixel, Mailgun, Whatsapp Website Icon, Form Html Element, Youtube, Linkedin, _("Responsive"), Google Site Verification, Youtube Embed, Clicktale, Javascript, Facebook</t>
  </si>
  <si>
    <t>Symplify Technologies AB</t>
  </si>
  <si>
    <t>Drottninggatan 55</t>
  </si>
  <si>
    <t>https://www.symplify.com/</t>
  </si>
  <si>
    <t>CRM,Advertising,Business Intelligence,Software,Digital Marketing,Information Technology,Marketing Automation,Marketing,SaaS,Email Marketing,Analytics</t>
  </si>
  <si>
    <t>https://app.vainu.io/vainu/prospect/1350186/</t>
  </si>
  <si>
    <t>Global Site Tag, Facebook Domain Verification, PHP, Teamtailor, Ziggeo, Bootstrap, Font awesome, Linkedin Analytics / Advertisement Pixel, Gravatar, TLS v1.2, Google analytics, Website, Microsoft IIS, Chart.js, section.io, SSL/TLS, Jquery, Twitter, Litespeed, Microsoft IIS 10.0, Fontfaceobserver, Microsoft asp.net, Stimulus, Sharpspring, Google maps, Osano, Microsoft ASP.NET 4.0, Tab Icon, Wordpress, Varnish, jQuery Migrate, Google tag manager, Ruby, TLS v1.0, Modernizr, Linkedin Data Partner, Linkedin Insight Tag, Heroku, Facebook Like Button Plugin, Google font api, Lightbox, GlobalSign, SharpSpring 2.0, Facebook Share Button Plugin, Amazon web services, Form Html Element, Vimeo, Sitegainer, Mysql, Linkedin, _("Responsive"), Google Site Verification, WordPress 5, Zendesk, Rackcache, Gmail, Choices, Youtube Embed, Javascript, Facebook, TLS v1.1</t>
  </si>
  <si>
    <t>Talentech AB</t>
  </si>
  <si>
    <t>Östgötagatan 90, 2 tr</t>
  </si>
  <si>
    <t>talentech.com/sv</t>
  </si>
  <si>
    <t>Virtual Workforce,Software,Information Technology,Social Recruiting,Human Resources,Internet,SaaS,Recruiting</t>
  </si>
  <si>
    <t>https://app.vainu.io/vainu/prospect/1176687/</t>
  </si>
  <si>
    <t>PHP, ReachMee, Ubuntu, Norwegian, Linkedin Analytics / Advertisement Pixel, Gravatar, TLS v1.2, Google analytics, Slick, Office365 email, SSL/TLS, Jquery, Website, Twitter, Litespeed, Wp rocket, Outlook, Office 365, Google maps, Atlassian Domain Verification, Microsoft exchange, Amazon CloudFront, Cloudflare, Yoast SEO, Wordpress, Tab Icon, jQuery Migrate, Google tag manager, Html5, TLS v1.0, Modernizr, Linkedin Data Partner, Hotjar, Linkedin Insight Tag, GoToWebinar, Google font api, Freshdesk, Hubspot CMS, Nginx, Swedish, Finnish, Facebook Share Button Plugin, Youtube Embed, Amazon web services, Javascript, Form Html Element, webCRM, English, Yoast SEO 17.1, Mysql, Linkedin Sign-in, HubSpot CMS Hub, _("Responsive"), Google Site Verification, Blog, Hubspot, Hubspot Forms, Choices, Oderland, Linkedin, Nginx 1.18, Facebook, TLS v1.1</t>
  </si>
  <si>
    <t>Talentwise AB</t>
  </si>
  <si>
    <t>Östra Larmgatan 13</t>
  </si>
  <si>
    <t>refapp.se</t>
  </si>
  <si>
    <t>Software,Information Technology,Human Resources,SaaS,Recruiting</t>
  </si>
  <si>
    <t>https://app.vainu.io/vainu/prospect/1551632/</t>
  </si>
  <si>
    <t>Facebook Domain Verification, PHP, Bootstrap, React, Instagram, TLS v1.2, Website, Mailchimp, SSL/TLS, Jquery, Outlook, Office 365, Microsoft exchange, Meteor, Tab Icon, MailJet, TLS v1.0, Node.js, Pepyaka, lodash, Wix, Pepyaka 1.19, Amazon web services, Whatsapp Website Icon, Mongodb, Vimeo, _("Responsive"), Google Site Verification, Elastic Email, Gmail, Linkedin, Javascript, Facebook, TLS v1.1</t>
  </si>
  <si>
    <t>Taskbuddy Scandinavia AB</t>
  </si>
  <si>
    <t>Sernandersväg 14</t>
  </si>
  <si>
    <t>taskbuddy.se</t>
  </si>
  <si>
    <t>https://app.vainu.io/vainu/prospect/1857257756/</t>
  </si>
  <si>
    <t>PHP, Vkontakte, Gravatar, Website, SSL/TLS, Jquery, Tumblr, Swiper Slider, Google Cloud Storage, SendinBlue, Elementor, Elementor 2.9, Tab Icon, Wordpress, Varnish, jQuery Migrate, Html5, Varnish 6.6, Google play, Stripe Online Payments, Google font api, Whatsapp Website Icon, Form Html Element, Vimeo, Mysql, Google Plus, _("Responsive"), Google Site Verification, WordPress 5, Google Cloud, Uploadserver, Apache, Gmail, Contact Form 7 Wordpress Plugin, Castle Accont Takeout Prevention, WordPress 5.4, Javascript, Facebook, TLS v1.1</t>
  </si>
  <si>
    <t>Team Engine Group AB</t>
  </si>
  <si>
    <t>Surbrunnsgatan 30</t>
  </si>
  <si>
    <t>teamengine.com</t>
  </si>
  <si>
    <t>File Sharing,Operating Systems,Software,Information Technology,Contact Management,SaaS,Management Information Systems,Enterprise,Collaboration,Productivity Tools,Enterprise Software</t>
  </si>
  <si>
    <t>https://app.vainu.io/vainu/prospect/1259482/</t>
  </si>
  <si>
    <t>Global Site Tag, Google Shopping, Apache 2.4, Google adwords, Teamtailor, Ziggeo, Doubleclick, Font awesome, Linkedin Analytics / Advertisement Pixel, Instagram, Choices, TLS v1.2, Google analytics, Website, section.io, SSL/TLS, Jquery, Twitter, Dreamweaver, Fontfaceobserver, Stimulus, Google maps, Apple App Store, Tab Icon, Google tag manager, Google Conversion, Varnish, Ruby, Html5, Google play, TLS v1.0, German, Heroku, Apache tomcat, Facebook Like Button Plugin, Google font api, Swedish, Facebook Share Button Plugin, Google remarketing, Form Html Element, Vimeo, English, Linkedin, _("Responsive"), Google Site Verification, PHP, Rackcache, Apache, Jquery ui, Ubuntu, jQuery UI 1.10, Youtube Embed, Javascript, Facebook, TLS v1.1</t>
  </si>
  <si>
    <t>Teamtailor AB</t>
  </si>
  <si>
    <t>Östgötagatan 16</t>
  </si>
  <si>
    <t>https://www.teamtailor.com/sv</t>
  </si>
  <si>
    <t>Software,Social Recruiting,Human Resources,Internet,Staffing Agency,Social Media,SaaS,Recruiting</t>
  </si>
  <si>
    <t>https://app.vainu.io/vainu/prospect/1578708/</t>
  </si>
  <si>
    <t>Teamtailor, React, Instagram, TLS v1.2, Website, SSL/TLS, Twitter, Gatsby, Office 365, Apple App Store, Webpack, Google tag manager, Html5, Google play, TLS v1.0, German, French, Swedish, Netlify, Finnish, English, _("Responsive"), Google Site Verification, Intercom, Blog, Hubspot Analytics, Gmail, Spanish, Gatsby 2.3, Linkedin, Javascript, Facebook, TLS v1.1</t>
  </si>
  <si>
    <t>Sv, En, De, Fr, Es, Fi</t>
  </si>
  <si>
    <t>TelMe AB</t>
  </si>
  <si>
    <t>Box 137</t>
  </si>
  <si>
    <t>KARLSKRONA</t>
  </si>
  <si>
    <t>telme.se</t>
  </si>
  <si>
    <t>Software,Supply Chain Management,Information Technology,SaaS,Logistics</t>
  </si>
  <si>
    <t>https://app.vainu.io/vainu/prospect/1389175/</t>
  </si>
  <si>
    <t>PHP, Vkontakte, Dropbox, Font awesome, Gravatar, TLS v1.2, Google analytics, Website, Microsoft IIS, SSL/TLS, Jquery, Tumblr, Microsoft IIS 10.0, Swiper Slider, WordPress 5.8, Adobe Typekit, Elementor, Google maps, Tab Icon, Wordpress, jQuery Migrate, Html5, GoToWebinar, Google font api, Hubspot CMS, Swedish, jQuery UI 1.11, Form Html Element, Whatsapp Website Icon, Vimeo, Mysql, jQuery UI 1.12, English, Google Plus, Typekit, Google Site Verification, _("Responsive"), WordPress 5, Opencart, Hubspot Analytics, _("Online_Store"), Jquery ui, Hubspot, Hubspot Forms, Linkedin, Javascript, Facebook</t>
  </si>
  <si>
    <t>Tillse Datasysteam AB</t>
  </si>
  <si>
    <t>Metodvägen 12 A</t>
  </si>
  <si>
    <t>MÖLNLYCKE</t>
  </si>
  <si>
    <t>tillse.se</t>
  </si>
  <si>
    <t>https://app.vainu.io/vainu/prospect/1609144/</t>
  </si>
  <si>
    <t>PHP, Bootstrap, MasterCard, Font awesome, Smartyads, TLS v1.2, Google analytics, Website, Office365 email, SSL/TLS, Jquery, Mailchimp, Nginx 1.11, Visa, Outlook, Flash video, Wordpress 4.9, Microsoft exchange, UNPKG, Tab Icon, Wordpress, jQuery Migrate, Flash, Pinterest, American Express, Wordpress 4, wpBakery, Google font api, Nginx, animate.css, Form Html Element, Vimeo, Mysql, Google Plus, _("Responsive"), Google Site Verification, Blog, Contact Form 7 Wordpress Plugin, Youtube Embed, Javascript, Facebook</t>
  </si>
  <si>
    <t>TimeZynk AB</t>
  </si>
  <si>
    <t>Mailbox 4010</t>
  </si>
  <si>
    <t>timezynk.com</t>
  </si>
  <si>
    <t>Virtual Workforce,Consumer Software,Software,Information Technology,Human Resources,Real Time,Internet,SaaS,Productivity Tools,Management Information Systems,Scheduling</t>
  </si>
  <si>
    <t>https://app.vainu.io/vainu/prospect/1422802/</t>
  </si>
  <si>
    <t>PHP, Teamtailor, Ziggeo, Force.com, Gravatar, TLS v1.2, Google analytics, Website, section.io, SSL/TLS, Jquery, Mailchimp, Twitter, WP Engine, Fontfaceobserver, Stimulus, Google maps, Atlassian Domain Verification, Apple App Store, Amazon CloudFront, GeneratePress, Liveagent, Pipedrive Leadbooster, Tab Icon, Wordpress, Varnish, jQuery Migrate, Google tag manager, Html5, Google play, Ruby, TLS v1.0, Hotjar, Slack, Facebook Page Plugin, Heroku, Facebook Like Button Plugin, Google font api, Nginx, Facebook Share Button Plugin, Youtube Embed, Amazon web services, Site Kit, Form Html Element, Vimeo, Mysql, Youtube, _("Responsive"), Google Site Verification, Monsterinsights, GeneratePress 3.0, Pipedrive, Site Kit 1.41, Rackcache, Gmail, Pure css, Linkedin, Javascript, Facebook, TLS v1.1</t>
  </si>
  <si>
    <t>Sv, Nl, En</t>
  </si>
  <si>
    <t>Timeedit AB</t>
  </si>
  <si>
    <t>Kungsportsplatsen 1</t>
  </si>
  <si>
    <t>timeedit.com</t>
  </si>
  <si>
    <t>https://app.vainu.io/vainu/prospect/1603169/</t>
  </si>
  <si>
    <t>PHP, Webflow, Teamtailor, TLS v1.2, Google analytics, Website, Mailchimp, SSL/TLS, Jquery, Adobe Typekit, Google maps, UNPKG, Google tag manager, Varnish, Html5, Xhtml, Weglot, Jimdo, Google font api, Nginx, Netlify, Shopify, jsDelivr, Form Html Element, _("Responsive"), Google Site Verification, _("Online_Store"), Gmail, Jobylon, Sendgrid, Openresty, Linkedin, Javascript, Facebook</t>
  </si>
  <si>
    <t>Tioli AB</t>
  </si>
  <si>
    <t>Kungsgatan 37</t>
  </si>
  <si>
    <t>tioli.se</t>
  </si>
  <si>
    <t>Compliance,Software,Privacy,Information Technology,Cyber Security,SaaS</t>
  </si>
  <si>
    <t>https://app.vainu.io/vainu/prospect/775302833/</t>
  </si>
  <si>
    <t>PHP, Force.com, TLS v1.2, Google analytics, Website, Office365 email, SSL/TLS, Jquery, Outlook, Flash video, Microsoft exchange, jQuery Migrate, Wordpress, Varnish, Flash, Varnish 6.6, TLS v1.0, WordPress 5.7, Divi 4.5, GoToWebinar, Google font api, Hubspot CMS, Form Html Element, Vimeo, Flickr, Mysql, _("Responsive"), Google Site Verification, Divi, WordPress 5, Hubspot Analytics, Apache, Hubspot, Hubspot Forms, Youtube Embed, Javascript, Facebook, TLS v1.1</t>
  </si>
  <si>
    <t>Tobii AB</t>
  </si>
  <si>
    <t>Box 743</t>
  </si>
  <si>
    <t>tobii.com</t>
  </si>
  <si>
    <t>Virtual Reality,Software,Augmented Reality</t>
  </si>
  <si>
    <t>https://app.vainu.io/vainu/prospect/1176698/</t>
  </si>
  <si>
    <t>PHP, Azure Application Insights, Cision News Room, Instagram, Website, Google analytics, Highcharts, Office365 email, Jquery, Twitter, Episerver, Outlook, Adobe Typekit, Microsoft exchange, Underscore.js, Cloudflare, Tab Icon, Wordpress, Google tag manager, Html5, Modernizr, Hotjar, Facebook pixel, Form Html Element, English, Youtube, Linkedin, _("Responsive"), Blog, Appinsights, Youtube Embed, Javascript, Facebook, Azalead</t>
  </si>
  <si>
    <t>Trackado AB</t>
  </si>
  <si>
    <t>Vinthundsgatan 40</t>
  </si>
  <si>
    <t>trackado.com</t>
  </si>
  <si>
    <t>Small and Medium Businesses,Software,Information Technology,Contract Management,Contact Management,Billing,SaaS,Management Information Systems,Enterprise,Business Information Systems,Enterprise Software</t>
  </si>
  <si>
    <t>https://app.vainu.io/vainu/prospect/113157745/</t>
  </si>
  <si>
    <t>Global Site Tag, PHP, Vkontakte, Font awesome, React, Gravatar, TLS v1.2, Google analytics, Slick, Microsoft IIS, Office365 email, SSL/TLS, Jquery, Website, Twitter, Tumblr, Microsoft IIS 10.0, Swiper Slider, Outlook, WordPress 5.8, Microsoft asp.net, Adobe Typekit, Elementor, Microsoft exchange, Underscore.js, Cloudflare, Microsoft ASP.NET 4.0, Yoast SEO, Wordpress, Tab Icon, jQuery Migrate, Google tag manager, Html5, TLS v1.0, Slack, Intercom Articles, Google font api, hCaptcha, Facebook Share Button Plugin, Microsoft Word, Form Html Element, Whatsapp Website Icon, Vimeo, Yoast SEO 17.1, Mysql, Google Plus, _("Responsive"), Underscore.js 1.13, WordPress 5, Intercom, _("Online_Store"), Castle Accont Takeout Prevention, Sendgrid, hCaptcha 1, Vue.js, Javascript, Facebook, TLS v1.1</t>
  </si>
  <si>
    <t>Triggerbee AB</t>
  </si>
  <si>
    <t>Saltmätargatan 5</t>
  </si>
  <si>
    <t>triggerbee.com</t>
  </si>
  <si>
    <t>Software,Marketing Automation,E-Commerce,Analytics,API,Personalization,B2B,Real Time,Semantic Search,SaaS,Big Data,Sales,Email Marketing,Advertising,Artificial Intelligence,B2C,Product Search,Internet,Marketing,Machine Learning</t>
  </si>
  <si>
    <t>https://app.vainu.io/vainu/prospect/4028470/</t>
  </si>
  <si>
    <t>PHP, Font awesome, Intranet, Smartyads, TLS v1.2, Google analytics, Gravatar, Website, SSL/TLS, Jquery, Mailchimp, Twitter, Swiper Slider, WordPress 5.8, Elementor, Kinsta, Cloudflare, Tab Icon, Wordpress, jQuery Migrate, Google tag manager, Html5, TLS v1.0, Hotjar, Slack, Google font api, Swedish, New relic, ChargeBee, Astra, Form Html Element, Vimeo, English, Mysql, Linkedin, Youtube, _("Responsive"), Google Site Verification, WordPress 5, Camelonta Myvisitors, Highlight.js, Triggerbee, Blog, Gmail, Recaptcha, Contact Form 7 Wordpress Plugin, Astra 3.6, Youtube Embed, Active Campaign, Javascript, Facebook, TLS v1.1</t>
  </si>
  <si>
    <t>Trimma AB</t>
  </si>
  <si>
    <t>Storgatan 51 B</t>
  </si>
  <si>
    <t>trimma.se/sv</t>
  </si>
  <si>
    <t>Business Intelligence,B2B,Software,Information Technology,Software Engineering,Project Management,Analytics,SaaS,Consulting,Collaboration,Management Information Systems,Business Information Systems</t>
  </si>
  <si>
    <t>https://app.vainu.io/vainu/prospect/1356451/</t>
  </si>
  <si>
    <t>PHP, Elementor 3.1, Vkontakte, Ubuntu, Easycruit, Linkedin Analytics / Advertisement Pixel, Instagram, TLS v1.2, Google analytics, Website, SSL/TLS, Jquery, Tumblr, Twitter, Swiper Slider, Atlassian jira, Elementor, Yoast SEO, Wordpress, Yoast SEO 12.4, Tab Icon, jQuery Migrate, Html5, Google tag manager, Modernizr, Linkedin Data Partner, Nginx 1.10, Linkedin Insight Tag, Google font api, Java, Facebook pixel, Nginx, Swedish, Youtube Embed, Form Html Element, Whatsapp Website Icon, Vimeo, Mysql, English, Moment.js, Youtube, Google Plus, _("Responsive"), Google Site Verification, Apache, Gmail, Recaptcha, Linkedin, Javascript, Facebook</t>
  </si>
  <si>
    <t>Trustcruit AB</t>
  </si>
  <si>
    <t>Business Incubator, Science Park</t>
  </si>
  <si>
    <t>https://www.trustcruit.com/sv/</t>
  </si>
  <si>
    <t>Career Planning,Talent Management,Software,Information Technology,Social Recruiting,Human Resources,Internet,Skill Assessment,SaaS,Recruiting,Analytics</t>
  </si>
  <si>
    <t>https://app.vainu.io/vainu/prospect/1197367/</t>
  </si>
  <si>
    <t>Global Site Tag, Caddy, PHP, Bootstrap, Font awesome, Intranet, Gravatar, TLS v1.2, Google analytics, Website, Thinkific, SSL/TLS, Jquery, Mailchimp, Twitter, Yoast SEO 16.9, Amazon CloudFront, Cloudflare, Yoast SEO, Wordpress, Tab Icon, Google tag manager, Html5, TLS v1.0, Xhtml, Slack, FastMail, Stripe Online Payments, AmazonS, Google font api, lodash, Nginx, ActiveCampaign, Calendly, Angularjs, Netlify, Swedish, Youtube Embed, Amazon web services, TLS v1.1, Form Html Element, Bootstrap 4.7, Vimeo, Mysql, Paths.js, English, _("Responsive"), Google Site Verification, Intercom, Glassdoor Job Search, Blog, _("Online_Store"), GSAP, Gmail, Recaptcha, Openresty, Linkedin, Active Campaign, Javascript, Facebook, Go</t>
  </si>
  <si>
    <t>Trygva Solutions AB</t>
  </si>
  <si>
    <t>Edingsvägen 20</t>
  </si>
  <si>
    <t>UDDEVALLA</t>
  </si>
  <si>
    <t>trygva.se</t>
  </si>
  <si>
    <t>https://app.vainu.io/vainu/prospect/455807647/</t>
  </si>
  <si>
    <t>Global Site Tag, PHP, Dropbox, Website, Google analytics, Office365 email, SSL/TLS, Jquery, Twitter, Litespeed, Outlook, Flash video, Office 365, Google adsense, Varbi / Mynetworkglobal, jQuery Migrate, Wordpress, Google tag manager, Flash, TLS v1.0, Modernizr, Google font api, Facebook pixel, Amazon web services, Form Html Element, Vimeo, Mysql, _("Responsive"), WordPress 5, WordPress 5.3, Recaptcha, Contact Form 7 Wordpress Plugin, Youtube Embed, Javascript, Facebook, TLS v1.1</t>
  </si>
  <si>
    <t>Tölve AB</t>
  </si>
  <si>
    <t>TEGNÉRGATAN 37</t>
  </si>
  <si>
    <t>http://www.tolve.se/</t>
  </si>
  <si>
    <t>Artificial Intelligence,Sales Automation,B2B,Software,Lead Generation,Marketing Automation,SaaS,Sales,Machine Learning</t>
  </si>
  <si>
    <t>https://app.vainu.io/vainu/prospect/114890353/</t>
  </si>
  <si>
    <t>PHP, Bootstrap, Font awesome, Intranet, Smartyads, TLS v1.2, Google analytics, Website, Force.com, SSL/TLS, Jquery, WordPress 5.2, Tab Icon, Wordpress, jQuery Migrate, Google tag manager, TLS v1.0, Node.js, Google font api, Nginx, Express, Mailgun, Form Html Element, Mysql, _("Responsive"), Google Site Verification, WordPress 5, Monsterinsights, Zendesk, Gmail, Contact Form 7 Wordpress Plugin, Linkedin, Javascript, TLS v1.1</t>
  </si>
  <si>
    <t>Upsales Nordic AB</t>
  </si>
  <si>
    <t>Sveavägen 21, 4 tr</t>
  </si>
  <si>
    <t>upsales.se</t>
  </si>
  <si>
    <t>CRM,Advertising,Sales Automation,B2B,B2C,Software,Lead Generation,Digital Marketing,Marketing Automation,Marketing,Sales</t>
  </si>
  <si>
    <t>https://app.vainu.io/vainu/prospect/1503020/</t>
  </si>
  <si>
    <t>PHP, Azure Application Insights, Dropbox, Bootstrap, React, Intranet, Website, Jquery, Twitter, Episerver, Microsoft asp.net, Wistia, Booking Widget (All), Cloudflare, Microsoft ASP.NET 4.0, Tab Icon, Google tag manager, Google play, Slack, Google font api, Swedish, jsDelivr, Form Html Element, Vimeo, Episerver Find 13, _("Responsive"), Recaptcha, Jobylon, Appinsights, Linkedin, cloudinary, Active Campaign, Javascript, Facebook</t>
  </si>
  <si>
    <t>VEMASY AB</t>
  </si>
  <si>
    <t>Roslagsgatan 60</t>
  </si>
  <si>
    <t>vemasy.com</t>
  </si>
  <si>
    <t>https://app.vainu.io/vainu/prospect/2186409316/</t>
  </si>
  <si>
    <t>PHP, Bootstrap, Font awesome, TLS v1.2, Website, Microsoft IIS, SSL/TLS, Jquery, Microsoft IIS 10.0, Microsoft asp.net, Microsoft ASP.NET 4.0, Tab Icon, Upsales Crm, Google font api, jsDelivr, Bootstrap 4.7, Form Html Element, Vimeo, BidTheatre, Moment.js, _("Responsive"), DataTables, Youtube Embed, Javascript, Facebook</t>
  </si>
  <si>
    <t>Valei AB</t>
  </si>
  <si>
    <t>Olaigatan 17 A</t>
  </si>
  <si>
    <t>valei.com</t>
  </si>
  <si>
    <t>https://app.vainu.io/vainu/prospect/2246107/</t>
  </si>
  <si>
    <t>Facebook Domain Verification, Instagram, TLS v1.2, Google analytics, Website, Mailchimp, SSL/TLS, Jquery, UNPKG, Osano, Tab Icon, Google tag manager, Adroll, Xhtml, Google font api, Facebook pixel, Form Html Element, _("Responsive"), Google Site Verification, MaxMind, Cookie Consent By Insites, Gmail, Facebook Chat, Javascript, Facebook</t>
  </si>
  <si>
    <t>Valuation Europe AB</t>
  </si>
  <si>
    <t>Danderydsgatan 18</t>
  </si>
  <si>
    <t>https://www.valu8group.com</t>
  </si>
  <si>
    <t>Emerging Markets,Software,FinTech,Finance,Information Technology,Financial Services,Analytics</t>
  </si>
  <si>
    <t>https://app.vainu.io/vainu/prospect/1247366/</t>
  </si>
  <si>
    <t>PHP, Bootstrap, Font awesome, Gravatar, TLS v1.2, Website, Office365 email, SSL/TLS, Jquery, Mailchimp, Blazor, Outlook, Microsoft asp.net, Microsoft exchange, WordPress 5.2, Yoast SEO 12.7, Pipedrive Leadbooster, Yoast SEO, Wordpress, Divi 4.9, Tab Icon, jQuery Migrate, Google tag manager, Google font api, lodash, Nginx, Microsoft azure, Form Html Element, Vimeo, Flickr, Mysql, _("Responsive"), Divi, WordPress 5, Pipedrive, Apache, Recaptcha, Contact Form 7 Wordpress Plugin, Youtube Embed, Javascript, Facebook</t>
  </si>
  <si>
    <t>Varbi AB</t>
  </si>
  <si>
    <t>Spannmålsgatan 13</t>
  </si>
  <si>
    <t>TROLLHÄTTAN</t>
  </si>
  <si>
    <t>https://www.varbi.com/</t>
  </si>
  <si>
    <t>Career Planning,Software,Information Technology,Social Recruiting,Human Resources,Staffing Agency,SaaS,Recruiting</t>
  </si>
  <si>
    <t>https://app.vainu.io/vainu/prospect/1452643/</t>
  </si>
  <si>
    <t>PHP, Polish, Bootstrap, SE, Font awesome, Doubleclick, Instagram, Gravatar, TLS v1.2, Website, Slick, Yoast SEO 16.0, SSL/TLS, Jquery, Danish, Twitter, Visa, Dutch, Varbi / Mynetworkglobal, Romanian, Yoast SEO, Wordpress, Tab Icon, jQuery Migrate, Google tag manager, Html5, TLS v1.0, Xhtml, German, Ro, French, Google font api, Addthis, lodash, Swedish, New relic, Finnish, Norwegian, Form Html Element, English, Mysql, Linkedin, Youtube, _("Responsive"), Google Site Verification, Apache, Gmail, Recaptcha, Contact Form 7 Wordpress Plugin, Chinese, Youtube Embed, Javascript, Facebook, TLS v1.1</t>
  </si>
  <si>
    <t>Sv, No, En, Da, De, Nl, Nb, Fr, Zh, nn, Pl, Fi</t>
  </si>
  <si>
    <t>Vendre AB</t>
  </si>
  <si>
    <t>vendre.se</t>
  </si>
  <si>
    <t>Advertising,Sales,B2B,B2C,Sourcing,Software,Product Management,Employer Branding,Staffing Agency,SaaS,Marketing,E-Commerce,Recruiting</t>
  </si>
  <si>
    <t>https://app.vainu.io/vainu/prospect/1283700/</t>
  </si>
  <si>
    <t>Facebook Domain Verification, PHP, Google adwords, Leadinfo, Ziggeo, Teamtailor, Font awesome, Linkedin Analytics / Advertisement Pixel, Doubleclick, Google Shopping, TLS v1.2, Google analytics, Slick, section.io, SSL/TLS, Jquery, Vue.js 2.5, Website, Twitter, Afterpay, Albacross Analytics, Olark, Mailchimp, Fontfaceobserver, Stimulus, Adobe Typekit, Google maps, Zurb foundation, Snowplow, Leadoo, Tab Icon, Swish, Google Conversion, Varnish, Google tag manager, Html5, Ruby, Linkedin Data Partner, Linkedin Insight Tag, Upsales Crm, Heroku, Facebook Like Button Plugin, Hubspot Email, Facebook pixel, Dibs Payments, Facebook Share Button Plugin, Youtube Embed, Google remarketing, Form Html Element, Vimeo, Vendre, Typekit, Google Site Verification, _("Responsive"), Zendesk, Payson Payments, Svea Webpay, Shimmercat, _("Online_Store"), Rackcache, Apache, Gmail, Hubspot, Linkedin, Vue.js, Javascript, Facebook, Klarna</t>
  </si>
  <si>
    <t>Visage Technologies AB</t>
  </si>
  <si>
    <t>Diskettgatan 11A</t>
  </si>
  <si>
    <t>https://visagetechnologies.com/</t>
  </si>
  <si>
    <t>Artificial Intelligence,Image Recognition,Consumer Software,Software,Information Technology,Product Search,Real Time,Biometrics,Computer Vision,Machine Learning,Intelligent Systems,Human Computer Interaction,Visual Search,Augmented Reality</t>
  </si>
  <si>
    <t>https://app.vainu.io/vainu/prospect/1284761/</t>
  </si>
  <si>
    <t>Icelandic, PHP, MasterCard, Website, Google analytics, Jquery, Tumblr, Leadfeeder, Select2, Wordpress, Flickity, Linkedin Insight Tag, Java, Salesforce Web To Lead, Norwegian, Javascript, English, Google Plus, Global Site Tag, Bamboo HR, Vkontakte, Instagram, Gravatar, TLS v1.2, Mailchimp, Danish, Yoast SEO 12.3, Google tag manager, Xhtml, German, Nginx, Swedish, Microsoft Word, Vimeo, _("Responsive"), Google Site Verification, Gmail, Recaptcha, Chinese, Linkedin, Facebook, TLS v1.1, Polish, Linkedin Analytics / Advertisement Pixel, Twitter, Visa, Dutch, W3 total cache, Salesforce, Elementor, Korean, Slovak, Yoast SEO, Tab Icon, Slack, Czech, Popper, Mysql, Hungarian, Atlassian confluence, Bootstrap, SSL/TLS, Estonian, Romanian, Html5, TLS v1.0, Hotjar, Linkedin Data Partner, Portuguese, Russian, Catapult Cookie Consent, Finnish, Popper 1.12, Japanese, Whatsapp Website Icon, Form Html Element, Youtube, Nginx 1.16, Italian, Spanish, Contact Form 7 Wordpress Plugin, Youtube Embed, French</t>
  </si>
  <si>
    <t>Visma SmartDok AB</t>
  </si>
  <si>
    <t>Box 30 122</t>
  </si>
  <si>
    <t>https://www.smartdok.se/</t>
  </si>
  <si>
    <t>Software,Construction,Information Technology,Project Management,SaaS</t>
  </si>
  <si>
    <t>https://app.vainu.io/vainu/prospect/1233361/</t>
  </si>
  <si>
    <t>Global Site Tag, PHP, Vkontakte, Bootstrap, Font awesome, Instagram, Gravatar, TLS v1.2, Google analytics, Website, Microsoft IIS, SSL/TLS, Jquery, Microsoft IIS 10.0, Twitter, Litespeed, WordPress 5.8, Microsoft asp.net, Apple App Store, Cloudflare, Microsoft ASP.NET 4.0, Tab Icon, Wordpress, Google tag manager, Google play, TLS v1.0, Xhtml, Google Optimize, Sustainability Report, Hubspot CMS, Facebook pixel, Hubspot Customer Feedback, Javascript, Youtube Embed, Whatsapp Website Icon, Form Html Element, Vimeo, Mysql, Youtube, Hubspot Live Chat, HubSpot CMS Hub, _("Responsive"), Google Site Verification, WordPress 5, Hubspot Analytics, Hubspot, Hubspot Forms, Linkedin, Hubspot Ads Pixel, Facebook, TLS v1.1</t>
  </si>
  <si>
    <t>Visolit Sweden 99 AB</t>
  </si>
  <si>
    <t>Östra Bangatan 28</t>
  </si>
  <si>
    <t>visolit.se</t>
  </si>
  <si>
    <t>CRM,B2B,Software,Commercial,Information Services,Information Technology,Cloud Computing,Cloud Security,SaaS,Cloud Data Services,Consulting,IT Infrastructure,Cloud Infrastructure</t>
  </si>
  <si>
    <t>https://app.vainu.io/vainu/prospect/1435648/</t>
  </si>
  <si>
    <t>Adform, PHP, TLS v1.2, Website, Office365 email, SSL/TLS, Jquery, Twitter, Outlook, Hr Manager, Office 365, Microsoft exchange, Atlassian Domain Verification, Amazon CloudFront, Cloudflare, Mail Anyone, Tab Icon, Google tag manager, Html5, Sustainability Report, GoToWebinar, Google font api, Hubspot CMS, Hubspot Email, Facebook pixel, Swedish, Facebook Share Button Plugin, Norwegian, Amazon web services, Microsoft azure, Form Html Element, English, Linkedin Sign-in, Linkedin, HubSpot CMS Hub, _("Responsive"), Google Site Verification, Service Now, Facebook Workplace, Hubspot Marketing Hub, Hubspot, Sendgrid, Hubspot Forms, Youtube Embed, Javascript, Facebook</t>
  </si>
  <si>
    <t>Sv, Nl, En, Nb</t>
  </si>
  <si>
    <t>Voady AB</t>
  </si>
  <si>
    <t>STORGATAN, 12</t>
  </si>
  <si>
    <t>voady.se</t>
  </si>
  <si>
    <t>Beauty,SaaS,Software</t>
  </si>
  <si>
    <t>https://app.vainu.io/vainu/prospect/1154864825/</t>
  </si>
  <si>
    <t>Webflow, Instagram, Smartyads, TLS v1.2, Google analytics, Website, SSL/TLS, Jquery, Adobe Typekit, Amazon CloudFront, Google tag manager, Varnish, Nuxt.js, Hotjar, Node.js, Google font api, Nginx, Amazon web services, Form Html Element, _("Responsive"), Google Site Verification, Gmail, Openresty, Vue.js, Javascript, Facebook</t>
  </si>
  <si>
    <t>Vocean AB</t>
  </si>
  <si>
    <t>Norra Industrivägen 1B</t>
  </si>
  <si>
    <t>HUDIKSVALL</t>
  </si>
  <si>
    <t>vocean.com</t>
  </si>
  <si>
    <t>Virtual Workforce,Artificial Intelligence,Crowdsourcing,B2B,Software,Product Management,Information Technology,Innovation Management,Knowledge Management,Real Time,SaaS,Enterprise,Collaboration,Productivity Tools,Enterprise Software</t>
  </si>
  <si>
    <t>https://app.vainu.io/vainu/prospect/625324881/</t>
  </si>
  <si>
    <t>Global Site Tag, PHP, Vkontakte, Font awesome, Force.com, Smartyads, TLS v1.2, Google analytics, Gravatar, Office365 email, Slick, Jquery, SSL/TLS, Website, Tumblr, Google Firebase, Litespeed, Windows-Azure-Web 1.0, Outlook, WordPress 5.8, W3 total cache, Swiper Slider, Elementor, Office 365, Microsoft exchange, Booking Widget (All), Microsoft-Httpapi 2.0, Microsoft HTTPAPI 2.0, Yoast SEO, Wordpress, Tab Icon, Google tag manager, Html5, TLS v1.0, Stripe Online Payments, Weglot, Microsoft HTTPAPI, Google font api, Amazon web services, Whatsapp Website Icon, Stripe, Form Html Element, Yoast SEO 17.1, Mysql, Vimeo, Google Plus, Ecacc, _("Responsive"), Google Site Verification, WordPress 5, Monsterinsights, _("Online_Store"), Windows-Azure-Web, Microsoft-HTTPAPI, Javascript, Facebook, TLS v1.1</t>
  </si>
  <si>
    <t>Voyado AB</t>
  </si>
  <si>
    <t>Lumaparksvägen 9</t>
  </si>
  <si>
    <t>https://voyado.com/</t>
  </si>
  <si>
    <t>CRM,Artificial Intelligence,Personalization,B2C,Software,Digital Marketing,Customer Engagement,Retail Technology,Product Search,Marketing Automation,Social CRM,SaaS,Marketing,E-Commerce,Customer Service,Retail,Analytics</t>
  </si>
  <si>
    <t>https://app.vainu.io/vainu/prospect/1228323/</t>
  </si>
  <si>
    <t>Facebook Domain Verification, PHP, Teamtailor, Ziggeo, Font awesome, Instagram, TLS v1.2, Google analytics, Website, Office365 email, section.io, Jquery, SSL/TLS, Twitter, Outlook, WP Engine, Fontfaceobserver, Stimulus, Linkedin Jobs Plugin, Office 365, Google maps, Microsoft exchange, Yoast SEO, Wordpress, Varnish, Tab Icon, Google tag manager, Html5, Ruby, TLS v1.0, Hotjar, WisePops, Heroku, Facebook Like Button Plugin, Nginx, Cookiebot, Facebook Share Button Plugin, Youtube Embed, Amazon web services, Form Html Element, Vimeo, Yoast SEO 17.1, Mysql, Youtube, Hubspot Live Chat, _("Responsive"), Google Site Verification, Zendesk, Rackcache, Hubspot Marketing Hub, Aurelia, Hubspot, Hubspot Forms, Linkedin, Javascript, Facebook, TLS v1.1</t>
  </si>
  <si>
    <t>Web Manuals International AB</t>
  </si>
  <si>
    <t>Nordenskiöldsgatan 11A</t>
  </si>
  <si>
    <t>webmanuals.aero</t>
  </si>
  <si>
    <t>Compliance,Software,Communities,Information Technology,Software Engineering,Computer,Document Management,SaaS,Enterprise,Management Information Systems,Air Transportation</t>
  </si>
  <si>
    <t>https://app.vainu.io/vainu/prospect/113117590/</t>
  </si>
  <si>
    <t>Global Site Tag, PHP, Vkontakte, Doubleclick, Linkedin Analytics / Advertisement Pixel, Gravatar, TLS v1.2, Website, Slick, SSL/TLS, Jquery, Tumblr, Twitter, Swiper Slider, Elementor, Leadfeeder, Google maps, Amazon CloudFront, Tab Icon, Wordpress, jQuery Migrate, Google tag manager, Html5, TLS v1.0, Hotjar, Slack, Google Pay, AMP, AmazonS, Node.js, Google font api, Facebook pixel, Nginx, Express, Youtube Embed, Amazon web services, Site Kit, Whatsapp Website Icon, Form Html Element, Vimeo, Mysql, Youtube, Google Plus, _("Responsive"), Google Sign-in, Google Site Verification, Opencart, _("Online_Store"), Site Kit 1.41, Gmail, Recaptcha, Linkedin, Javascript, Facebook, TLS v1.1</t>
  </si>
  <si>
    <t>Wint Accounting AB</t>
  </si>
  <si>
    <t>Gårdatorget 1</t>
  </si>
  <si>
    <t>https://www.wint.se/</t>
  </si>
  <si>
    <t>Small and Medium Businesses,Software,FinTech,Accounting,Information Technology,SaaS,Financial Services</t>
  </si>
  <si>
    <t>https://app.vainu.io/vainu/prospect/1541722/</t>
  </si>
  <si>
    <t>PHP, Webflow, TLS v1.2, Website, Microsoft IIS, SSL/TLS, Jquery, Microsoft IIS 10.0, Microsoft asp.net, Office 365, Embed.Ly, Apple App Store, UNPKG, Tab Icon, Wordpress, Varnish, Google tag manager, Html5, Google play, Sustainability Report, Addthis, Nginx, jsDelivr, Form Html Element, Vimeo, Youtube, Linkedin, _("Responsive"), Google Site Verification, Gmail, Hubspot, Sendgrid, Openresty, Youtube Embed, Javascript, Facebook</t>
  </si>
  <si>
    <t>Wint Group AB</t>
  </si>
  <si>
    <t>wint.se</t>
  </si>
  <si>
    <t>https://app.vainu.io/vainu/prospect/3028475/</t>
  </si>
  <si>
    <t>PHP, Webflow, TLS v1.2, Website, Microsoft IIS, SSL/TLS, Jquery, Microsoft IIS 10.0, Twitter, Microsoft asp.net, Office 365, Embed.Ly, Apple App Store, UNPKG, Tab Icon, Wordpress, Varnish, Google tag manager, Html5, Google play, Sustainability Report, Addthis, Nginx, jsDelivr, Form Html Element, Vimeo, Youtube, Linkedin, _("Responsive"), Google Site Verification, Gmail, Hubspot, Sendgrid, Openresty, Youtube Embed, Javascript, Facebook</t>
  </si>
  <si>
    <t>Workbuster AB</t>
  </si>
  <si>
    <t>Tegnérgatan 8, 3 trp</t>
  </si>
  <si>
    <t>workbuster.com</t>
  </si>
  <si>
    <t>Virtual Workforce,Career Planning,Software,Information Technology,Social Recruiting,Human Resources,Internet,Employer Branding,SaaS,Employment,Recruiting</t>
  </si>
  <si>
    <t>https://app.vainu.io/vainu/prospect/1582569/</t>
  </si>
  <si>
    <t>Global Site Tag, GitHub Pages, PHP, Bootstrap, Font awesome, Instagram, Gravatar, TLS v1.2, Google analytics, Slick, Website, Twitter typeahead.js, Jquery, SSL/TLS, Ruby on rails, Twitter, Wp rocket, Adobe Typekit, Leadfeeder, Cowboy, Google maps, Cloudflare, Freshdesk Freshchat, Yoast SEO, Wordpress, Tab Icon, jQuery Migrate, Google tag manager, Workbuster, Ruby, Modernizr, Google Pay, Sustainability Report, Upsales Crm, Heroku, Google font api, Nginx, Swedish, Yoast SEO 17.2, Facebook Share Button Plugin, Mailgun, Form Html Element, Vimeo, English, Mysql, Google Plus, _("Responsive"), Google Site Verification, Gravity Forms 2.5, Apache, Recaptcha, Gravity Forms, Choices, Linkedin, Javascript, Facebook</t>
  </si>
  <si>
    <t>Workmind i Skandinavien AB</t>
  </si>
  <si>
    <t>Hantverkargatan 18-20</t>
  </si>
  <si>
    <t>workmind.se</t>
  </si>
  <si>
    <t>Virtual Workforce,CRM,Small and Medium Businesses,B2B,B2C,Software,Information Technology,Contact Management,SaaS,Sales,Business Information Systems,Management Information Systems</t>
  </si>
  <si>
    <t>https://app.vainu.io/vainu/prospect/1543941557/</t>
  </si>
  <si>
    <t>Bootstrap, lodash, Wix, Pepyaka 1.19, React, Pepyaka, TLS v1.2, Website, Office365 email, SSL/TLS, Tab Icon, Whatsapp Website Icon, Form Html Element, TLS v1.0, Outlook, Javascript, _("Responsive"), TLS v1.1</t>
  </si>
  <si>
    <t>Yesbox Talent AB</t>
  </si>
  <si>
    <t>Vasavägen 20</t>
  </si>
  <si>
    <t>STOCKSUND</t>
  </si>
  <si>
    <t>yesboxtalent.se</t>
  </si>
  <si>
    <t>Virtual Workforce,Talent Management,Software,Employee Engagement,Information Technology,Human Resources,Skill Assessment,SaaS,Enterprise,Management Information Systems</t>
  </si>
  <si>
    <t>https://app.vainu.io/vainu/prospect/112121763/</t>
  </si>
  <si>
    <t>PHP, Linkedin Analytics / Advertisement Pixel, Instagram, TLS v1.2, Google analytics, Slick, Office365 email, SSL/TLS, Jquery, Website, OneTrust, Twitter, Outlook, WordPress 5.8, Flash video, Sucuri/cloudproxy, Microsoft exchange, Tab Icon, Wordpress, jQuery Migrate, Cookielaw, Flash, Google tag manager, TLS v1.0, Linkedin Data Partner, Slack, Linkedin Insight Tag, Optanon Cookie Consent, Facebook Like Button Plugin, Google font api, Lightbox, Facebook pixel, ActiveCampaign, Form Html Element, Vimeo, Flickr, Mysql, Youtube, Linkedin, Prettyphoto, _("Responsive"), Google Site Verification, WordPress 5, Yandex Metrica, Youtube Embed, Active Campaign, Javascript, Facebook, TLS v1.1</t>
  </si>
  <si>
    <t>Younium AB</t>
  </si>
  <si>
    <t>DROTTNINGGATAN 61</t>
  </si>
  <si>
    <t>younium.com</t>
  </si>
  <si>
    <t>Small and Medium Businesses,API,B2B,Software,FinTech,Information Technology,Contact Management,SaaS,Financial Services,Enterprise,Management Information Systems,Business Information Systems,Enterprise Software</t>
  </si>
  <si>
    <t>https://app.vainu.io/vainu/prospect/454554296/</t>
  </si>
  <si>
    <t>Global Site Tag, PHP, Teamtailor, Ziggeo, Bootstrap, Font awesome, React, Instagram, TLS v1.2, Google analytics, Website, Microsoft IIS, Office365 email, section.io, SSL/TLS, Jquery, Twitter, Microsoft IIS 10.0, Albacross Analytics, Outlook, Fontfaceobserver, Microsoft asp.net, Stimulus, Google maps, Microsoft exchange, Amazon CloudFront, Cloudflare, Tab Icon, Google tag manager, Varnish, Ruby, Html5, Hubspot Rss Feed, Hotjar, Slack, Heroku, GoToWebinar, Facebook Like Button Plugin, Google font api, Hubspot CMS, Hubspot Email, Facebook Share Button Plugin, Youtube Embed, Amazon web services, Form Html Element, Bootstrap 4.7, Vimeo, Linkedin Sign-in, Youtube, Bootstrap 4.6, HubSpot CMS Hub, _("Responsive"), Google Site Verification, Rackcache, Hubspot Marketing Hub, Recaptcha, Hubspot, Hubspot Forms, Linkedin, Javascript, Facebook, AMP</t>
  </si>
  <si>
    <t>Zhipster AB</t>
  </si>
  <si>
    <t>Råröd 14</t>
  </si>
  <si>
    <t>DINGLE</t>
  </si>
  <si>
    <t>zhipster.se</t>
  </si>
  <si>
    <t>Software,Supply Chain Management,Information Technology,SaaS,Logistics,Transportation</t>
  </si>
  <si>
    <t>https://app.vainu.io/vainu/prospect/1394012/</t>
  </si>
  <si>
    <t>Bootstrap, Font awesome, TLS v1.2, Google analytics, Website, Office365 email, Microsoft IIS, SSL/TLS, Jquery, Microsoft IIS 10.0, Outlook, Microsoft asp.net, Adobe Typekit, Microsoft exchange, Microsoft ASP.NET 4.0, Tab Icon, Html5, Slack, Google font api, jsDelivr, Form Html Element, Typekit, _("Responsive"), Recaptcha, Linkedin, Javascript</t>
  </si>
  <si>
    <t>Zmash AB</t>
  </si>
  <si>
    <t>Humlegårdsgatan 22</t>
  </si>
  <si>
    <t>https://zmash.com/</t>
  </si>
  <si>
    <t>Advertising,Artificial Intelligence,Software,Digital Marketing,Information Technology,Social Recruiting,Human Resources,Internet,Social Media,SaaS,Recruiting,Machine Learning</t>
  </si>
  <si>
    <t>https://app.vainu.io/vainu/prospect/677367523/</t>
  </si>
  <si>
    <t>PHP, Chart.js 2.7, Linkedin Analytics / Advertisement Pixel, Instagram, Gravatar, Website, Slick, Mailchimp, Chart.js, Jquery, Flash video, Yoast SEO, Wordpress, Tab Icon, jQuery Migrate, Flash, Google tag manager, Nginx 1.13, Yoast SEO 13.3, Linkedin Data Partner, Linkedin Insight Tag, Nginx, Swedish, New relic, Cookiebot, Mash / Euroloan, jsDelivr, Form Html Element, Vimeo, English, Mysql, _("Responsive"), WordPress 5, Gmail, Contact Form 7 Wordpress Plugin, Linkedin, Javascript, Facebook</t>
  </si>
  <si>
    <t>Zwapgrid AB</t>
  </si>
  <si>
    <t>zwapgrid.com</t>
  </si>
  <si>
    <t>Blockchain,API,Payments,Software,FinTech,Information Technology,Internet,SaaS,Financial Services,Enterprise,Collaboration,Data Integration,Developer APIs</t>
  </si>
  <si>
    <t>https://app.vainu.io/vainu/prospect/454676150/</t>
  </si>
  <si>
    <t>Global Site Tag, Facebook Domain Verification, PHP, Teamtailor, Ziggeo, Website, Google analytics, Microsoft IIS, section.io, Jquery, Microsoft IIS 10.0, Mailchimp, Twitter, Oracle marketing cloud, Fontfaceobserver, Microsoft asp.net, Stimulus, Google maps, Amazon CloudFront, Cloudflare, Tab Icon, Google tag manager, Varnish, Ruby, Html5, Slack, Facebook Page Plugin, GoToWebinar, Facebook Like Button Plugin, Google font api, Heroku, GlobalSign, Hubspot CMS, Swedish, Detectify, Vidyard, Facebook Share Button Plugin, Youtube Embed, Amazon web services, Form Html Element, Vimeo, English, HubSpot CMS Hub, _("Responsive"), Google Site Verification, Rackcache, Hubspot Marketing Hub, Gmail, Hubspot, Hubspot Forms, Linkedin, Javascript, Facebook</t>
  </si>
  <si>
    <t>actigate AB</t>
  </si>
  <si>
    <t>Götgatan 78</t>
  </si>
  <si>
    <t>actigate.com</t>
  </si>
  <si>
    <t>Business Intelligence,Software,Information Technology,SaaS,Analytics</t>
  </si>
  <si>
    <t>https://app.vainu.io/vainu/prospect/1479448/</t>
  </si>
  <si>
    <t>PHP, Apache 2.4, Bootstrap 3.3, Bootstrap, TLS v1.2, Website, SSL/TLS, Jquery, Adobe Typekit, Mixpanel Analytics, Yoast SEO, Wordpress, Yoast SEO 9.2, Tab Icon, jQuery Migrate, Slack, Debian, Google font api, WordPress 5.0, Mailgun, Form Html Element, Vimeo, Mysql, Flickr, Linkedin, _("Responsive"), Google Site Verification, Divi, WordPress 5, Divi 3.18, Hubspot Leadflows, Hubspot Analytics, Apache, Gmail, Contact Form 7 Wordpress Plugin, Hubspot, Wildfly, Hubspot Forms, Youtube Embed, Javascript, Facebook</t>
  </si>
  <si>
    <t>andfrankly pulse AB</t>
  </si>
  <si>
    <t>Torsgatan 13</t>
  </si>
  <si>
    <t>andfrankly.com</t>
  </si>
  <si>
    <t>Virtual Workforce,Software,Employee Engagement,Information Technology,SaaS,Management Information Systems,Consulting,Productivity Tools,Enterprise Software</t>
  </si>
  <si>
    <t>https://app.vainu.io/vainu/prospect/111522845/</t>
  </si>
  <si>
    <t>PHP, Teamtailor, Ziggeo, Font awesome, Instagram, Intranet, TLS v1.2, Google analytics, Website, section.io, SSL/TLS, Jquery, Twitter, Fontfaceobserver, Stimulus, Google maps, Amazon CloudFront, Cloudflare, Tab Icon, Google tag manager, Varnish, Ruby, Html5, MailJet, TLS v1.0, Hotjar, Slack, AMP, Facebook Page Plugin, GoToWebinar, Facebook Like Button Plugin, Google font api, Heroku, Hubspot CMS, Hubspot Email, Vidyard, Facebook Share Button Plugin, Youtube Embed, Amazon web services, Form Html Element, Vimeo, Linkedin Sign-in, Youtube, HubSpot CMS Hub, _("Responsive"), Google Site Verification, Blog, Rackcache, Hubspot Marketing Hub, Gmail, Hubspot, Sendgrid, Hubspot Forms, Linkedin, Javascript, Facebook, TLS v1.1</t>
  </si>
  <si>
    <t>bintel AB</t>
  </si>
  <si>
    <t>Mobilvägen 10</t>
  </si>
  <si>
    <t>bintel.se</t>
  </si>
  <si>
    <t>Waste Management,Operating Systems,Internet of Things,Software,Information Technology,GreenTech,Recycling,Smart Cities,CleanTech</t>
  </si>
  <si>
    <t>https://app.vainu.io/vainu/prospect/775285636/</t>
  </si>
  <si>
    <t>PHP, Vkontakte, Font awesome, Linkedin Analytics / Advertisement Pixel, Force.com, Website, Google analytics, SSL/TLS, Jquery, Tumblr, Swiper Slider, Neve, Elementor, Leadfeeder, Cloudflare, Tab Icon, Wordpress, Html5, TLS v1.0, Linkedin Data Partner, Neve 2.6, Linkedin Insight Tag, Node.js, Nginx 1.19, Google font api, Elementor 3.0, Nginx, animate.css, Express, Mailgun, Form Html Element, Whatsapp Website Icon, Vimeo, Mysql, Linkedin, Youtube, Google Plus, _("Responsive"), Google Site Verification, WordPress 5, Monsterinsights, WordPress 5.5, Gmail, Youtube Embed, Javascript, Facebook, TLS v1.1</t>
  </si>
  <si>
    <t>deBroome AB</t>
  </si>
  <si>
    <t>Tomtebogatan 5</t>
  </si>
  <si>
    <t>debroome.com</t>
  </si>
  <si>
    <t>Advertising,Content,B2C,Software,Brand Marketing,CMS,Presentations,Marketing,SaaS,Personal Branding</t>
  </si>
  <si>
    <t>https://app.vainu.io/vainu/prospect/112732181/</t>
  </si>
  <si>
    <t>Global Site Tag, PHP, Google adwords, Vkontakte, Ziggeo, Eurocard, Font awesome, Redis, Intranet, Ubuntu, Bootstrap, Google analytics, TLS v1.2, section.io, Mailchimp, Jquery, SSL/TLS, Site Kit 1.40, Twitter, Swiper Slider, Tumblr, Teamtailor, Stimulus, Elementor, Adobe Typekit, Select2, Linkedin Analytics / Advertisement Pixel, Website, Yoast SEO, Wordpress, Google tag manager, Ruby, Tab Icon, Html5, jQuery Migrate, Varnish, TLS v1.0, Javascript, Hotjar, Linkedin Data Partner, Slack, Linkedin Insight Tag, Heroku, Google font api, Facebook Like Button Plugin, Nginx, Swedish, Calendly, Livechat, Facebook Share Button Plugin, Youtube Embed, Google Dynamic Remarketing, Amazon web services, Whatsapp Website Icon, Vimeo, Form Html Element, Bootstrap 4.0, Site Kit, English, Google Plus, Mysql, Typekit, _("Responsive"), WordPress 5, Yoast SEO 17.0, Redis Object Cache, Rackcache, Apache, Gmail, Recaptcha, Contact Form 7 Wordpress Plugin, Elementor 3.2, Linkedin, Nginx 1.18, Facebook, TLS v1.1</t>
  </si>
  <si>
    <t>eMarketeer AB</t>
  </si>
  <si>
    <t>Färögatan 33, E3</t>
  </si>
  <si>
    <t>emarketeer.com</t>
  </si>
  <si>
    <t>Advertising,Mobile Advertising,B2B,Software,Lead Generation,Digital Marketing,Marketing Automation,Marketing,SaaS,Event Management,Email Marketing</t>
  </si>
  <si>
    <t>https://app.vainu.io/vainu/prospect/1395794/</t>
  </si>
  <si>
    <t>Yammer, PHP, Bootstrap, Font awesome, Norwegian, TLS v1.2, Google analytics, Website, Danish, Jquery, SSL/TLS, Twitter, Awsdns-17.org, Flash video, Office 365, Wordpress 4.9, Atlassian Domain Verification, 1e100.net, Yoast SEO, Wordpress, Tab Icon, Yoast SEO 6.3, Flash, Html5, jQuery Migrate, Responsive, Google tag manager, Modernizr, Linkedin Data Partner, Slack, Flickity, Pinterest, TweenMax, Wordpress 4, Linkedin Insight Tag, Google.com, Facebook Like Button Plugin, Google font api, Facebook pixel, animate.css, Swedish, Facebook Share Button Plugin, Youtube Embed, Online store, Amazon web services, Form Html Element, Magento, Vimeo, Mysql, Prettyphoto, Moment.js, Youtube, Google Plus, English, _("Responsive"), Google Sign-in, Www, Google Site Verification, Zendesk, Awsdns-15.com, _("Online_Store"), Apache, Gmail, Contact Form 7 Wordpress Plugin, Facebook, Jquery ui, Sendgrid, Linkedin, Javascript, eMarketeer</t>
  </si>
  <si>
    <t>iRecommend Sweden AB</t>
  </si>
  <si>
    <t>Östgötagatan 90 2 Tr</t>
  </si>
  <si>
    <t>irecommend.se</t>
  </si>
  <si>
    <t>Software,Gamification,Information Technology,Human Resources,Internet,SaaS,Employment,Recruiting</t>
  </si>
  <si>
    <t>https://app.vainu.io/vainu/prospect/455147009/</t>
  </si>
  <si>
    <t>PHP, Bootstrap, Linkedin Analytics / Advertisement Pixel, Instagram, TLS v1.2, Website, SSL/TLS, Jquery, Twitter, WordPress 5.8, Apple App Store, Yoast SEO, Wordpress, Tab Icon, jQuery Migrate, Google tag manager, Google play, Hotjar, Linkedin Data Partner, Linkedin Insight Tag, GoToWebinar, Google font api, Hubspot CMS, Facebook pixel, Nginx, Swedish, Facebook Share Button Plugin, Form Html Element, Vimeo, English, Yoast SEO 17.1, Mysql, Linkedin, Google Plus, _("Responsive"), WordPress 5, Blog, Hubspot Analytics, Gmail, Hubspot, Hubspot Forms, Choices, Youtube Embed, Javascript, Facebook</t>
  </si>
  <si>
    <t>iSkillhill Europe AB</t>
  </si>
  <si>
    <t>reviewact.se</t>
  </si>
  <si>
    <t>Software,Consumer Reviews,Reputation,Internet,SaaS</t>
  </si>
  <si>
    <t>https://app.vainu.io/vainu/prospect/112366915/</t>
  </si>
  <si>
    <t>PHP, Vkontakte, Bootstrap, Font awesome, Instagram, TLS v1.2, Google analytics, Website, SSL/TLS, Jquery, Tumblr, Twitter, Litespeed, Olark, Adobe Typekit, Google maps, Viber Public Chat, Tab Icon, Wordpress, jQuery Migrate, Viber Share Button, TLS v1.0, Hotjar, Wordpress 4, Google font api, All in One SEO Pack 2.3, Facebook pixel, Wordpress 4.6, All in One SEO Pack, jsDelivr, Form Html Element, Whatsapp Website Icon, Liveinternet, Mysql, Youtube, Linkedin, Google Plus, _("Responsive"), TripAdvisor, Youtube Embed, Javascript, Facebook, TLS v1.1</t>
  </si>
  <si>
    <t>occtoo AB</t>
  </si>
  <si>
    <t>Södra Flinksgatan 3</t>
  </si>
  <si>
    <t>VELLINGE</t>
  </si>
  <si>
    <t>occtoo.com</t>
  </si>
  <si>
    <t>Software,Semantic Web,Customer Engagement,E-Commerce,Analytics,API,Personalization,Customer Experience,Real Time,SaaS,Big Data,Developer APIs,Artificial Intelligence,Consumer Software,B2C,Information Technology,Product Search,Customer Service,Data Integration,Enterprise Software,Machine Learning</t>
  </si>
  <si>
    <t>https://app.vainu.io/vainu/prospect/1355017975/</t>
  </si>
  <si>
    <t>Global Site Tag, Facebook Domain Verification, PHP, Teamtailor, Ziggeo, Font awesome, Instagram, Website, Google analytics, Office365 email, section.io, SSL/TLS, Jquery, Twitter, Outlook, Fontfaceobserver, Stimulus, Google maps, Microsoft exchange, Amazon CloudFront, Cloudflare, Tab Icon, Google tag manager, Varnish, Ruby, Html5, TLS v1.0, Heroku, GoToWebinar, Facebook Like Button Plugin, Google font api, Hubspot CMS, Facebook Share Button Plugin, Amazon web services, Form Html Element, Vimeo, Linkedin Sign-in, Linkedin, HubSpot CMS Hub, _("Responsive"), Zendesk, Blog, Rackcache, Hubspot, Hubspot Forms, Youtube Embed, Javascript, Facebook, TLS v1.1</t>
  </si>
  <si>
    <t>pickit Aktiebolag</t>
  </si>
  <si>
    <t>Västra Rönneholmsvägen 74A</t>
  </si>
  <si>
    <t>https://pickit.com/</t>
  </si>
  <si>
    <t>File Sharing,Software,Media and Entertainment,Presentations,Contact Management,API,Real Time,SaaS,Productivity Tools,Content Delivery Network,Operating Systems,Consumer Software,Information Technology,Photography,Product Search,Content Discovery,Enterprise,Enterprise Software,Visual Search,Machine Learning</t>
  </si>
  <si>
    <t>https://app.vainu.io/vainu/prospect/1231415/</t>
  </si>
  <si>
    <t>PHP, Azure Application Insights, Bootstrap, Dropbox, Font awesome, Instagram, Intranet, TLS v1.2, Google analytics, Django, Microsoft IIS 10.0, SSL/TLS, Jquery, Office365 email, Slick, Twitter, AOS, Microsoft IIS, Outlook, Oracle marketing cloud, Microsoft asp.net, Python, Adobe Typekit, Office 365, Zurb foundation, Requirejs, Optimizely, Microsoft exchange, Amazon CloudFront, UNPKG, Cloudflare, Osano, Website, Tab Icon, Google tag manager, Html5, Hotjar, Google Pay, Stripe Online Payments, GoToWebinar, Google font api, Addthis, Adobe Analytics, Hubspot CMS, Nginx, Hubspot Customer Feedback, Vidyard, Facebook Share Button Plugin, Youtube Embed, Amazon web services, Microsoft Word, Form Html Element, Stripe, Bootstrap 4.7, Linkedin Sign-in, jsDelivr, Youtube, Google Plus, AOS next, HubSpot CMS Hub, Typekit, Google Site Verification, _("Responsive"), Segment, Google Sign-in, Hubspot Live Chat, Blog, Cookie Consent By Insites, Hubspot Marketing Hub, Hubspot, Hubspot Forms, Appinsights, Linkedin, Javascript, Facebook, AMP</t>
  </si>
  <si>
    <t>stoEr Technologies AB</t>
  </si>
  <si>
    <t>Rehnsgatan 11</t>
  </si>
  <si>
    <t>stoer.se</t>
  </si>
  <si>
    <t>Commercial Lending,API,Lending,Software,FinTech,Finance,Information Technology,SaaS,Financial Services,Banking</t>
  </si>
  <si>
    <t>https://app.vainu.io/vainu/prospect/115847169/</t>
  </si>
  <si>
    <t>PHP, Vkontakte, TLS v1.2, Website, SSL/TLS, Jquery, Tumblr, Swiper Slider, WordPress 5.8, Elementor, Tab Icon, Wordpress, jQuery Migrate, Html5, TLS v1.0, Google font api, Nginx, Swedish, Astra, Whatsapp Website Icon, Form Html Element, Vimeo, Mysql, English, Google Plus, _("Responsive"), Google Site Verification, WordPress 5, Gmail, Elementor 3.4, Astra 3.4, Linkedin, Javascript, Facebook, TLS v1.1</t>
  </si>
  <si>
    <t>vloxq International AB</t>
  </si>
  <si>
    <t>Box 90 255</t>
  </si>
  <si>
    <t>vloxq.com</t>
  </si>
  <si>
    <t>Small and Medium Businesses,CRM,B2B,Software,Information Technology,Enterprise Software,SaaS,Enterprise,Business Information Systems,Productivity Tools,Management Information Systems</t>
  </si>
  <si>
    <t>https://app.vainu.io/vainu/prospect/2181632911/</t>
  </si>
  <si>
    <t>PHP, Vkontakte, Bootstrap, Font awesome, Instagram, Gravatar, TLS v1.2, Website, Office365 email, Twitter typeahead.js, SSL/TLS, Jquery, Tumblr, Twitter, Litespeed, Swiper Slider, Outlook, Elementor, Office 365, Nginx 1.14, Microsoft exchange, Leadoo, Yoast SEO, Wordpress, Tab Icon, Ionicons, jQuery Migrate, Html5, Google tag manager, Yoast SEO 16.3, TLS v1.0, WordPress 5.7, Upsales Crm, Google font api, Catapult Cookie Consent, Hubspot CMS, Nginx, animate.css, Swedish, Amazon web services, Astra, Form Html Element, Whatsapp Website Icon, Vimeo, Mysql, BidTheatre, English, Google Plus, _("Responsive"), Google Site Verification, WordPress 5, Blog, GSAP, Astra 2.0, Hubspot, Linkedin, Vue.js, Javascript, Facebook, TLS v1.1</t>
  </si>
  <si>
    <t>winningtemp AB</t>
  </si>
  <si>
    <t>Östra Hamngatan 31</t>
  </si>
  <si>
    <t>winningtemp.com</t>
  </si>
  <si>
    <t>Virtual Workforce,Artificial Intelligence,Talent Management,Software,Employee Engagement,Information Technology,Human Resources,Enterprise Software,SaaS,Management Information Systems,Enterprise,Analytics,Machine Learning</t>
  </si>
  <si>
    <t>https://app.vainu.io/vainu/prospect/1484933/</t>
  </si>
  <si>
    <t>PHP, Webflow, Bootstrap, Instagram, Smartyads, TLS v1.2, Google analytics, Website, Microsoft IIS, Office365 email, Twitter typeahead.js, SSL/TLS, Amazon SES, Twitter, Jquery, Microsoft IIS 10.0, Danish, Outlook, Microsoft asp.net, SweetAlert2, Adobe Typekit, Office 365, Google maps, Microsoft exchange, Apple App Store, UNPKG, Tab Icon, Wordpress, Varnish, Google tag manager, Google play, Flickity, Google Optimize, GoToWebinar, Google font api, Hubspot CMS, Nginx, Swedish, Cookiebot, Facebook Share Button Plugin, Youtube Embed, Norwegian, Form Html Element, Vimeo, English, Youtube, Typekit, Google Site Verification, _("Responsive"), Zendesk, Hubspot Marketing Hub, Hubspot, Hubspot Forms, Openresty, Linkedin, Javascript, Facebook, Bootstrap 5.1</t>
  </si>
  <si>
    <t>Otakaari 5</t>
  </si>
  <si>
    <t>ESPOO</t>
  </si>
  <si>
    <t>Accompany Oy</t>
  </si>
  <si>
    <t>3092010-7</t>
  </si>
  <si>
    <t>Pengerkatu 13 B 20</t>
  </si>
  <si>
    <t>HELSINKI</t>
  </si>
  <si>
    <t>www.accompany.fi</t>
  </si>
  <si>
    <t>Software,SaaS,Social Impact,Social,Sustainability,Crowdsourcing</t>
  </si>
  <si>
    <t>https://app.vainu.io/vainu/prospect/1783405400/</t>
  </si>
  <si>
    <t>Linkedin, Website, TLS v1.2, Google font api, Form Html Element, Facebook, Instagram, SSL/TLS, Webflow, Jquery, _("Responsive"), Nginx, Adobe Typekit, Gmail, Varnish, Google Site Verification, Javascript, Openresty</t>
  </si>
  <si>
    <t>la, En</t>
  </si>
  <si>
    <t>AddSearch Oy</t>
  </si>
  <si>
    <t>2545782-4</t>
  </si>
  <si>
    <t>PL 8</t>
  </si>
  <si>
    <t>www.addsearch.com</t>
  </si>
  <si>
    <t>Developer APIs,Software,SEO,Semantic Search,SaaS,E-Commerce,Information Technology,Google,Internet,B2C,Web Browsers,Search Engine</t>
  </si>
  <si>
    <t>https://app.vainu.io/vainu/prospect/549364/</t>
  </si>
  <si>
    <t>Bamboo HR, MaxMind, Discover, Hubspot Forms, SSL/TLS, Mysql, G2 Crowd Conversion Tracking, Hubspot Analytics, Google Site Verification, Select2, Ruby on rails, PHP, Recurly, Html5, AddSearch, Linkedin, Github.com, Fastly, Website, Addthis, Intranet, Hubspot CMS, Hubspot, Facebook, Vimeo, Jquery, Varnish, Ruby, Yoast SEO, Javascript, Tab Icon, Amazon web services, TLS v1.2, jsDelivr, Google font api, GitHub Pages, WordPress 5.7, jQuery Migrate, Google tag manager, WordPress 5, Wordpress, SyntaxHighlighter, Nginx, _("Responsive"), Slack, Wp rocket, Mailgun, Hotjar, Hubspot Ads Pixel, Twitter, Osano, Amazon SES, Handlebars, Form Html Element, Hubspot Live Chat, Google analytics, Cookie Consent By Insites, Hubspot Customer Feedback, Gmail, Oribi Analytics, Nginx 1.19, GoToWebinar, Yoast SEO 17.2, Global Site Tag</t>
  </si>
  <si>
    <t>Admin Labs Oy</t>
  </si>
  <si>
    <t>2751032-6</t>
  </si>
  <si>
    <t>Isolinnankatu 24</t>
  </si>
  <si>
    <t>PORI</t>
  </si>
  <si>
    <t>https://www.adminlabs.com</t>
  </si>
  <si>
    <t>Internet,Information Technology,Software,SaaS</t>
  </si>
  <si>
    <t>https://app.vainu.io/vainu/prospect/5700978/</t>
  </si>
  <si>
    <t>Office365 email, American Express, Mysql, Paytrail, PHP, Linkedin, Website, Twitter Ads, Facebook, Prism, Google PageSpeed 1.13, Microsoft exchange, Jquery, Outlook, Javascript, Recaptcha, Tab Icon, WordPress 5.3, Matomo, MasterCard, jQuery Migrate, WordPress 5, Wordpress, Gravity Forms, _("Responsive"), Nginx, Slack, MailJet, Google pagespeed, Hotjar, Twitter, Tawk.To Chat, Form Html Element, Google analytics, Facebook pixel, Apache</t>
  </si>
  <si>
    <t>Admincontrol Finland Oy</t>
  </si>
  <si>
    <t>2628996-5</t>
  </si>
  <si>
    <t>Yrjönkatu 23 A</t>
  </si>
  <si>
    <t>https://www.admincontrol.com/fi/</t>
  </si>
  <si>
    <t>Management Information Systems,Software,Financial Services,SaaS,Contract Management,Enterprise,Procurement,Business Information Systems,Compliance,Information Technology,Document Management</t>
  </si>
  <si>
    <t>https://app.vainu.io/vainu/prospect/726020/</t>
  </si>
  <si>
    <t>Office365 email, Finnish, TLS v1.0, SSL/TLS, Amazon CloudFront, Mysql, TLS v1.1, Mailchimp, PHP, Html5, Linkedin, Website, TLS problem, Swedish, Youtube, lodash, Facebook, Site Kit, Salesforce, Jquery, Dutch, Outlook, Microsoft exchange, Youtube Embed, Gravatar, Giosg, Javascript, Tab Icon, Amazon web services, AmazonS, TLS v1.2, MasterCard, jQuery Migrate, Google tag manager, Wordpress, Salesforce marketing cloud, _("Responsive"), Gravity Forms, Office 365, MailJet, Optanon Cookie Consent, CloudFront, Danish, Twitter, Pardot, Norwegian, OneTrust, Site Kit 1.29, Cloudflare, Form Html Element, Cookielaw, Facebook Share Button Plugin, Blog, English</t>
  </si>
  <si>
    <t>Nb, Da, No, Fi, Sv, En, Nl</t>
  </si>
  <si>
    <t>Aibidia Oy</t>
  </si>
  <si>
    <t>2661124-8</t>
  </si>
  <si>
    <t>Kalevankatu 30</t>
  </si>
  <si>
    <t>www.aibidia.com</t>
  </si>
  <si>
    <t>Finance,Artificial Intelligence,Business Intelligence,Software,Professional Services,Financial Services,SaaS,Machine Learning,Compliance,FinTech,Analytics,Information Technology,Legal,API</t>
  </si>
  <si>
    <t>https://app.vainu.io/vainu/prospect/732921/</t>
  </si>
  <si>
    <t>Backbone.js, Office365 email, TLS v1.0, SSL/TLS, Mysql, Google Site Verification, TLS v1.1, PHP, Linkedin, Website, Font awesome, Microsoft exchange, Jquery, Outlook, Javascript, Tab Icon, Underscore.js 1.13, TLS v1.2, Google font api, jQuery Migrate, Google tag manager, Wordpress, _("Responsive"), Twitter, Cloudflare, Underscore.js, Form Html Element, Kinsta, Instagram</t>
  </si>
  <si>
    <t>Aico Group Oy</t>
  </si>
  <si>
    <t>2924912-5</t>
  </si>
  <si>
    <t>Tekniikantie 14</t>
  </si>
  <si>
    <t>www.aico.ai</t>
  </si>
  <si>
    <t>Management Information Systems,Software,Enterprise Software,Financial Services,SaaS,Enterprise,FinTech,Business Information Systems,Information Technology</t>
  </si>
  <si>
    <t>https://app.vainu.io/vainu/prospect/1475236696/</t>
  </si>
  <si>
    <t>Backbone.js, Active Campaign, Hubspot Forms, TLS v1.0, Plyr, SSL/TLS, Mysql, Hubspot Analytics, Google Site Verification, PHP, Mailchimp, Teamtailor, Html5, Linkedin, Website, Font awesome, Youtube, Intranet, Hubspot CMS, Hubspot, lodash, Facebook, Vimeo, ActiveCampaign, Jquery, Varnish, Outlook, Microsoft exchange, Gravatar, Javascript, Tab Icon, TLS v1.2, Google font api, jQuery Migrate, Google tag manager, Xhtml, Wordpress, Plyr 3.5, Underscore.js 1.8, Nginx, _("Responsive"), Hubspot Ads Pixel, Twitter, HubSpot CMS Hub, Cloudflare, GoToWebinar, Form Html Element, Underscore.js, Modernizr, Google analytics, Facebook Share Button Plugin, Blog, Sendgrid, Sharpspring</t>
  </si>
  <si>
    <t>Fi, En</t>
  </si>
  <si>
    <t>Aiwo Digital Oy</t>
  </si>
  <si>
    <t>2945537-5</t>
  </si>
  <si>
    <t>Kalevankatu 4 A 32</t>
  </si>
  <si>
    <t>JYVÄSKYLÄ</t>
  </si>
  <si>
    <t>www.aiwo.ai</t>
  </si>
  <si>
    <t>Customer Experience,Software,Enterprise Software,SaaS,Machine Learning,Customer Service,Customer Engagement,Analytics,Natural Language Processing,Information Technology,Semantic Web,Artificial Intelligence,Intelligent Systems</t>
  </si>
  <si>
    <t>https://app.vainu.io/vainu/prospect/1317416088/</t>
  </si>
  <si>
    <t>Portuguese, Spanish, Office365 email, Finnish, Flash video, Hubspot Forms, Flash, TLS v1.0, SSL/TLS, Mysql, WordPress 5.8, Hubspot Analytics, Google Site Verification, Select2, PHP, Linkedin, Website, Youtube, Oxygen, scrollreveal, Hubspot, Vimeo, Jquery, Microsoft exchange, Outlook, Flickr, Youtube Embed, Gravatar, Javascript, Recaptcha, Hubspot Leadflows, Amazon web services, TLS v1.2, Google font api, Google tag manager, Gravity Forms, WordPress 5, Wordpress, _("Responsive"), Nginx, Hubspot Ads Pixel, Twitter, Amazon SES, Form Html Element, Gravity Forms 2.5, Hubspot Live Chat, Hubspot Email, Sendgrid, English</t>
  </si>
  <si>
    <t>Fi, En, Pt, Es</t>
  </si>
  <si>
    <t>Apix Messaging Oy</t>
  </si>
  <si>
    <t>2332748-7</t>
  </si>
  <si>
    <t>Sinikalliontie 7</t>
  </si>
  <si>
    <t>www.apix.fi</t>
  </si>
  <si>
    <t>Software,Financial Services,SaaS,Payments,Business Information Systems,Information Technology</t>
  </si>
  <si>
    <t>https://app.vainu.io/vainu/prospect/123210/</t>
  </si>
  <si>
    <t>Pure css, Linkedin Analytics / Advertisement Pixel, Flash video, TLS v1.0, Flash, SSL/TLS, Mysql, Hestia 1, Smartyads, WordPress 5.8, Adobe Typekit, Force.com, TLS v1.1, PHP, Linkedin, Apache 2.4, Website, Youtube, Twitter Ads, animate.css, Facebook, Adobe Spark / Muse, Ubuntu, Vimeo, Jquery, Microsoft exchange, Hestia, Outlook, Hestia 1.0, Yoast SEO, Youtube Embed, Javascript, Tab Icon, Linkedin Insight Tag, Amazon web services, _("Online_Store"), TLS v1.2, Google font api, Linkedin Data Partner, jQuery Migrate, Google tag manager, WordPress 5, Wordpress, _("Responsive"), Nginx, Contact Form 7 Wordpress Plugin, Hotjar, Twitter, Bootstrap, Tawk.To Chat, Form Html Element, Yoast SEO 17.1, Google analytics, Facebook pixel, Blog, Apache, Leadfeeder, SendinBlue, Lowell / Lindorff</t>
  </si>
  <si>
    <t>AppFollow.fi Oy</t>
  </si>
  <si>
    <t>2728364-5</t>
  </si>
  <si>
    <t>Mikonkatu 9</t>
  </si>
  <si>
    <t>https://appfollow.io</t>
  </si>
  <si>
    <t>Mobile,Developer APIs,Mobile Apps,Software,iOS,Enterprise Software,SaaS,Small and Medium Businesses,Apps,Analytics,Consumer Applications,Consumer Software,Internet,Android,API</t>
  </si>
  <si>
    <t>https://app.vainu.io/vainu/prospect/9727299/</t>
  </si>
  <si>
    <t>Craft Commerce, Active Campaign, American Express, Linkedin Analytics / Advertisement Pixel, TLS v1.0, SSL/TLS, Socket.IO, Google Site Verification, Node.js, TLS v1.1, Html5, Linkedin, Fastly, Website, Youtube, Semantic UI, Facebook, Afterpay, English, Salesforce, Jquery, Zendesk Chat, Youtube Embed, Google Plus, Atlassian Statuspage, Recaptcha, Javascript, Tab Icon, Recruitee, Amazon web services, _("Online_Store"), TLS v1.2, Segment, Visa, Google font api, jsDelivr, MasterCard, Google maps, Autopilot, Nginx, Mouseflow, Slack, Quora, _("Responsive"), Mailgun, Twitter, Russian, Moengage, Cloudflare, Form Html Element, Sentry, Google analytics, Instagram, Express, Sentry 6.12, Alpine.js, Gmail, Snapchat, Zendesk</t>
  </si>
  <si>
    <t>Applixure Oy</t>
  </si>
  <si>
    <t>2507933-3</t>
  </si>
  <si>
    <t>Arabiankatu 12</t>
  </si>
  <si>
    <t>www.applixure.com</t>
  </si>
  <si>
    <t>SaaS,Enterprise,Commercial,Data Visualization,Security,Analytics,Service Industry,Information Technology,Cloud Management,Information Services,B2B</t>
  </si>
  <si>
    <t>https://app.vainu.io/vainu/prospect/1638700/</t>
  </si>
  <si>
    <t>Office365 email, Loyalistic, Facebook Domain Verification, Vkontakte, Amazon CloudFront, Smartyads, Google Site Verification, Node.js, PHP, Linkedin, Website, Font awesome, Facebook, Vimeo, Jquery, Microsoft exchange, Outlook, Google Plus, Youtube Embed, Javascript, Automizy, Tab Icon, Amazon web services, Google font api, Google tag manager, _("Responsive"), Slack, Twitter, Form Html Element, Facebook Share Button Plugin, Express, Whatsapp Website Icon, Sendgrid</t>
  </si>
  <si>
    <t>Apprix Oy</t>
  </si>
  <si>
    <t>1721154-1</t>
  </si>
  <si>
    <t>Yrjönkatu 21 C</t>
  </si>
  <si>
    <t>www.apprix.fi</t>
  </si>
  <si>
    <t>Mobile,Education,SaaS,EdTech,Compliance,Security,Gamification,E-Learning,Serious Games,Corporate Training,Training,Edutainment</t>
  </si>
  <si>
    <t>https://app.vainu.io/vainu/prospect/123335/</t>
  </si>
  <si>
    <t>Litespeed, Clipboard.js, Finnish, Pinterest, Vkontakte, SSL/TLS, Mysql, WordPress 5.8, Adobe Typekit, PHP, Mailchimp, Html5, Linkedin, Website, Font awesome, Tumblr, Intranet, Facebook, co, English, Vimeo, Jquery, Typekit, Microsoft exchange, Outlook, Elementor, Lightbox, Yoast SEO, Youtube Embed, Google Plus, Gravatar, Javascript, Tab Icon, Jquery ui, Underscore.js 1.13, TLS v1.2, Google font api, jQuery Migrate, Google maps, WordPress 5, Wordpress, Google tag manager, Choices, Zoho Email, Contact Form 7 Wordpress Plugin, Chart.js, Office 365, _("Responsive"), Italian, Twitter, Bootstrap, Underscore.js, Modernizr, Form Html Element, Extranet, Yoast SEO 17.1, Google analytics, Facebook Share Button Plugin, Swiper Slider, Whatsapp Website Icon, Gmail, Apache, SendinBlue, Global Site Tag</t>
  </si>
  <si>
    <t>Fi, It, En</t>
  </si>
  <si>
    <t>Assently Oy</t>
  </si>
  <si>
    <t>3150576-5</t>
  </si>
  <si>
    <t>Tekniikantie 2</t>
  </si>
  <si>
    <t>www.assently.com/fi</t>
  </si>
  <si>
    <t>Management Information Systems,Real Time,Payments,Information Technology,Information Services,Product Search,Computer,Enterprise,Operating Systems,FinTech,Security,Business Information Systems,Privacy,Legal,B2C,B2B,Developer APIs,NFC,Enterprise Software,Identity Management,Contact Management,SaaS,E-Commerce,Service Industry,Document Management,Consumer Software,API,Office Administration,Software,Professional Services,Biometrics,Internet,Data Security,Consumer</t>
  </si>
  <si>
    <t>https://app.vainu.io/vainu/prospect/2182012198/</t>
  </si>
  <si>
    <t>Spanish, Finnish, Flash video, Hubspot Forms, Flash, SSL/TLS, French, Mysql, Google Site Verification, PHP, Teamtailor, Html5, Linkedin, Website, Swedish, Font awesome, Detectify, Youtube, German, Hubspot CMS, Hubspot, Loaderio, Facebook, Vimeo, Jquery, Flickr, Youtube Embed, Gravatar, Javascript, Tab Icon, Amazon web services, Hubspot Meetings Plugin, Bootstrap 3, TLS v1.2, Google font api, Hubspot Marketing Hub, jQuery Migrate, Google maps, WordPress 5, Wordpress, Google tag manager, _("Responsive"), Wp rocket, Office 365, Slack, Microsoft IIS 10.0, Microsoft IIS, Danish, Zendesk, Leadoo, Twitter, Amazon SES, Norwegian, Bootstrap, Form Html Element, Google analytics, WordPress 5.6, Facebook Share Button Plugin, Facebook pixel, Hubspot Sales, Global Site Tag, Gmail, Apache, GoToWebinar, English</t>
  </si>
  <si>
    <t>Fi, Sv, En</t>
  </si>
  <si>
    <t>Avaa Solutions Oy</t>
  </si>
  <si>
    <t>3143223-6</t>
  </si>
  <si>
    <t>Onkilahdenkatu 5</t>
  </si>
  <si>
    <t>VAASA</t>
  </si>
  <si>
    <t>www.avaa.io</t>
  </si>
  <si>
    <t>Management Information Systems,Software,Rental Property,Real Estate,SaaS,Real Time,Commercial Real Estate,PaaS,Business Information Systems,Real Estate Investment,Facility Management,Information Technology,Consumer Software,Internet,API,Property Management</t>
  </si>
  <si>
    <t>https://app.vainu.io/vainu/prospect/2169152564/</t>
  </si>
  <si>
    <t>Wordpress super cache, OWL Carousel, TLS v1.0, Vkontakte, SSL/TLS, Mysql, Google Site Verification, Google play, TLS v1.1, PHP, Html5, Linkedin, Website, Tumblr, Facebook, Vimeo, Jquery, Revslider, Revslider 6.1, Elementor, Youtube Embed, Yoast SEO, Google Plus, Recaptcha, Gravatar, Javascript, Tab Icon, TLS v1.2, Google font api, Plesk, jQuery Migrate, Google tag manager, WordPress 5, Wordpress, Underscore.js 1.8, _("Responsive"), Nginx, Contact Form 7 Wordpress Plugin, Underscore.js, Modernizr, Form Html Element, Instagram, Swiper Slider, Whatsapp Website Icon, Yoast SEO 14.6</t>
  </si>
  <si>
    <t>Avaintec Oy</t>
  </si>
  <si>
    <t>1083359-1</t>
  </si>
  <si>
    <t>Itämerenkatu 1</t>
  </si>
  <si>
    <t>www.avaintec.com</t>
  </si>
  <si>
    <t>Software,SaaS,Enterprise,Commercial,Machine Learning,Blockchain,Service Industry,Information Technology,Health Care,Software Engineering,Artificial Intelligence,Robotics,Intelligent Systems,B2B</t>
  </si>
  <si>
    <t>https://app.vainu.io/vainu/prospect/107407/</t>
  </si>
  <si>
    <t>TLS v1.0, SSL/TLS, Google Site Verification, TLS v1.1, PHP, Linkedin, Website, lodash, Facebook, Jquery, Javascript, Tab Icon, TLS v1.2, Pepyaka 1.19, Atlassian Domain Verification, Wix, React, _("Responsive"), Twitter, Bootstrap, Whatsapp Website Icon, Gmail, Pepyaka</t>
  </si>
  <si>
    <t>BackedByCFO Oy</t>
  </si>
  <si>
    <t>2950436-8</t>
  </si>
  <si>
    <t>Lapinlahdenkatu 16</t>
  </si>
  <si>
    <t>www.riskrate.io</t>
  </si>
  <si>
    <t>Finance,Software,Financial Services,SaaS,Database,FinTech,Insurance,Information Technology,Risk Management,API</t>
  </si>
  <si>
    <t>https://app.vainu.io/vainu/prospect/1401162278/</t>
  </si>
  <si>
    <t>TLS v1.0, SSL/TLS, Google Site Verification, TLS v1.1, Html5, Linkedin, Website, lodash, Facebook, Javascript, Tab Icon, Hubspot Meetings Plugin, _("Online_Store"), TLS v1.2, Google font api, Google tag manager, Wix, React, _("Responsive"), Slack, Twitter, Bootstrap, Cloudflare, Google analytics, Instagram, Hubspot Sales, Whatsapp Website Icon, Gmail, Ionicons, Global Site Tag</t>
  </si>
  <si>
    <t>BaseN Oy</t>
  </si>
  <si>
    <t>1737550-3</t>
  </si>
  <si>
    <t>Salmisaarenaukio 1</t>
  </si>
  <si>
    <t>http://www.basen.net</t>
  </si>
  <si>
    <t>Software,Enterprise Software,Real Time,SaaS,Enterprise,Analytics,Information Technology,Cloud Computing,Internet of Things,Big Data,Telecommunications</t>
  </si>
  <si>
    <t>https://app.vainu.io/vainu/prospect/130898/</t>
  </si>
  <si>
    <t>Office365 email, Linkedin Analytics / Advertisement Pixel, TLS v1.0, Vkontakte, SSL/TLS, Mysql, Force.com, TLS v1.1, PHP, Html5, Linkedin, Website, Tumblr, Facebook, Vimeo, Jquery, Microsoft exchange, Outlook, Elementor, Yoast SEO, Google Plus, Gravatar, Javascript, Tab Icon, Linkedin Insight Tag, TLS v1.2, Monsterinsights, Google font api, Linkedin Data Partner, WordPress 5.7, jQuery Migrate, Google tag manager, WordPress 5, Wordpress, Atlassian Domain Verification, Underscore.js 1.8, _("Responsive"), Yoast SEO 17.2, Twitter, Cloudflare, Underscore.js, Form Html Element, Yoast SEO 17.1, Google analytics, Instagram, Swiper Slider, Whatsapp Website Icon, Sharepoint Online</t>
  </si>
  <si>
    <t>Basware Oyj</t>
  </si>
  <si>
    <t>0592542-4</t>
  </si>
  <si>
    <t>PL 97</t>
  </si>
  <si>
    <t>https://www.basware.com/fi-fi/kotisivu/</t>
  </si>
  <si>
    <t>Software,Manufacturing,SaaS,Payments,Commercial,FinTech,Information Technology,B2B</t>
  </si>
  <si>
    <t>https://app.vainu.io/vainu/prospect/130964/</t>
  </si>
  <si>
    <t>Microsoft asp.net, Office365 email, SSL/TLS, Mysql, Divi 4.9, PHP, jQuery UI 1.10, Linkedin, Website, Font awesome, Youtube, scrollreveal, Cloudflare Browser Insights, animate.css, Optimizely, Facebook, Vimeo, Jquery, Microsoft exchange, Outlook, Flickr, Youtube Embed, Google Plus, Javascript, Tab Icon, Jquery ui, WP Engine, Kentico cms, Service Now, Vidyard, Stripe Online Payments, TLS v1.2, Docusign, Google font api, Hubspot Marketing Hub, MasterCard, jQuery Migrate, Google maps, Wordpress, QuoVadis, Google tag manager, Nginx, Office 365, _("Responsive"), Mailgun, Jobylon, Adobe Analytics, Twitter, Divi, Bootstrap, Cloudflare, Bootstrap 4.6, Form Html Element, Dynatrace, Google analytics, Instagram, Facebook Share Button Plugin</t>
  </si>
  <si>
    <t>Beastmaker Oy</t>
  </si>
  <si>
    <t>3111977-6</t>
  </si>
  <si>
    <t>Opiskelijankatu 29 A 33</t>
  </si>
  <si>
    <t>TAMPERE</t>
  </si>
  <si>
    <t>https://www.beastmaker.io/</t>
  </si>
  <si>
    <t>Software,Enterprise Software,SaaS,Human Resources,Information Technology</t>
  </si>
  <si>
    <t>https://app.vainu.io/vainu/prospect/2011511340/</t>
  </si>
  <si>
    <t>TLS v1.0, SSL/TLS, Google Site Verification, TLS v1.1, Linkedin, Website, Wix Ecommerce, lodash, Facebook, Javascript, Tab Icon, Polyfill, _("Online_Store"), TLS v1.2, Pepyaka 1.19, Wix, React, _("Responsive"), Slack, Bootstrap, Form Html Element, Instagram, Whatsapp Website Icon, Gmail, Pepyaka</t>
  </si>
  <si>
    <t>Bitbar Technologies Oy</t>
  </si>
  <si>
    <t>2283565-8</t>
  </si>
  <si>
    <t>Mikonkatu 17 B</t>
  </si>
  <si>
    <t>www.bitbar.com</t>
  </si>
  <si>
    <t>Application Performance Management,Apps,Information Technology,Mobile Devices,Consumer Applications,Developer Platform,Mobile,Operating Systems,Software Engineering,Android,Artificial Intelligence,Developer APIs,Mobile Apps,Enterprise Software,iOS,SaaS,PaaS,Enterprise Applications,Quality Assurance,Consumer Software,API,Software,Professional Services,Developer Tools</t>
  </si>
  <si>
    <t>https://app.vainu.io/vainu/prospect/512593/</t>
  </si>
  <si>
    <t>Mimecast, Marketo, Wordpress super cache, Site Kit 1.41, Hubspot Forms, TLS v1.0, SSL/TLS, Amazon CloudFront, Mysql, Google Site Verification, Google play, Asciinema, TLS v1.1, PHP, Braintree, Html5, AddSearch, Linkedin, Marketo Forms 2, Fastly, Website, Font awesome, Youtube, Addthis, Bootstrap 4.7, Facebook, Google Optimize, Site Kit, Jquery, Microsoft exchange, Outlook, Yoast SEO, Youtube Embed, Atlassian Statuspage, Recaptcha, Gravatar, Javascript, Tab Icon, Marketo Forms, Amazon web services, AmazonS, TLS v1.2, Visa, Google font api, Google tag manager, Salesforce marketing cloud, Wordpress, _("Responsive"), Nginx, Office 365, Twitter, Pardot, Bootstrap, Modernizr, Form Html Element, Google analytics, Yoast SEO 15.9, Facebook Share Button Plugin</t>
  </si>
  <si>
    <t>Bizmind Oy</t>
  </si>
  <si>
    <t>2627564-3</t>
  </si>
  <si>
    <t>Munkkiniemen puistotie 12 A 2</t>
  </si>
  <si>
    <t>www.bizmind.com</t>
  </si>
  <si>
    <t>Software,Psychology,SaaS,Machine Learning,Information Technology,Artificial Intelligence,Sales</t>
  </si>
  <si>
    <t>https://app.vainu.io/vainu/prospect/730209/</t>
  </si>
  <si>
    <t>Wordpress 4.9, Office365 email, Active Campaign, Wordpress 4, OWL Carousel, TLS v1.0, Flash, SSL/TLS, Mysql, Google play, TLS v1.1, Mailchimp, PHP, Html5, Linkedin, Website, Facebook, Ubuntu, Vimeo, Jquery, Microsoft exchange, Outlook, Linkedin Sign-in, Lightbox, Youtube Embed, Javascript, jQuery Migrate, Apple App Store, Wordpress, Xhtml, _("Responsive"), Nginx, Office 365, Slack, Twitter, Nginx 1.14, Modernizr, Form Html Element, Google analytics, Facebook Like Button Plugin, Swiper Slider, Choices</t>
  </si>
  <si>
    <t>Brella Oy</t>
  </si>
  <si>
    <t>2765076-7</t>
  </si>
  <si>
    <t>www.brella.io</t>
  </si>
  <si>
    <t>Software,Event Management,SaaS,Commercial,Professional Networking,Information Technology,Events,B2C,Artificial Intelligence,B2B</t>
  </si>
  <si>
    <t>https://app.vainu.io/vainu/prospect/16680944/</t>
  </si>
  <si>
    <t>Slick, OneSignal, Hubspot Forms, TLS v1.0, SSL/TLS, Amazon CloudFront, Hubspot Analytics, Google Site Verification, Brella, TLS v1.1, Mailchimp, Teamtailor, PHP, Html5, Linkedin, Website, Youtube, Intranet, Hubspot CMS, Hubspot, Facebook, Vercel, Vimeo, Jquery, AMP, Linkedin Sign-in, Youtube Embed, Javascript, Tab Icon, Amazon web services, Vidyard, TLS v1.2, Google font api, Hubspot Marketing Hub, Google tag manager, Wordpress, _("Responsive"), Castle Accont Takeout Prevention, Twitter, HubSpot CMS Hub, Cloudflare, Form Html Element, Instagram, Facebook Share Button Plugin, Hubspot Customer Feedback, Blog, Gmail, GoToWebinar</t>
  </si>
  <si>
    <t>Builderhead Oy</t>
  </si>
  <si>
    <t>2951899-7</t>
  </si>
  <si>
    <t>Alppikylänkatu 4 C 52</t>
  </si>
  <si>
    <t>https://frostberry.com/</t>
  </si>
  <si>
    <t>Product Search,Mobile,Online Forums,Software,SaaS,E-Commerce,Commercial,Web Browsers,B2B</t>
  </si>
  <si>
    <t>https://app.vainu.io/vainu/prospect/1390709954/</t>
  </si>
  <si>
    <t>Tealium, Linkedin, Akamai mPulse, Website, Boomerang, Akamai Boomerang, Facebook, Google tag manager, Akamai Resource Optimizer, Tab Icon, Jquery, _("Responsive"), Google Site Verification, Gmail, Slack, Akamai, Javascript</t>
  </si>
  <si>
    <t>Buildie Oy</t>
  </si>
  <si>
    <t>2679827-6</t>
  </si>
  <si>
    <t>Finlaysoninkatu 2</t>
  </si>
  <si>
    <t>buildie.fi</t>
  </si>
  <si>
    <t>Management Information Systems,Construction,Software,SaaS,Information Technology,Document Management,Consumer Software</t>
  </si>
  <si>
    <t>https://app.vainu.io/vainu/prospect/1168506/</t>
  </si>
  <si>
    <t>Office365 email, TLS v1.0, SSL/TLS, Mysql, Smartyads, Google play, TLS v1.1, Mailchimp, PHP, Linkedin, Website, Facebook, Microsoft exchange, Jquery, Instafeed, Outlook, Elementor, nginx-rc, Gravatar, Javascript, Tab Icon, Amazon web services, Nginx 1.21, TLS v1.2, Google font api, Google tag manager, Google maps, Apple App Store, Wordpress, WordPress 5, _("Responsive"), Nginx, Office 365, Slack, Google Firebase, New relic, Tawk.To Chat, Form Html Element, Google analytics, Instagram, Facebook pixel, Leadfeeder, Global Site Tag</t>
  </si>
  <si>
    <t>Buildlink Oy</t>
  </si>
  <si>
    <t>2558071-8</t>
  </si>
  <si>
    <t>Peltokatu 25-27 A 8</t>
  </si>
  <si>
    <t>buildlink.fi</t>
  </si>
  <si>
    <t>Software,Real Time,SaaS,Real Estate,Property Management,QR Codes,Analytics,Facility Management,E-Learning,Information Technology,Internet of Things,Knowledge Management,Asset Management</t>
  </si>
  <si>
    <t>https://app.vainu.io/vainu/prospect/718860/</t>
  </si>
  <si>
    <t>SSL/TLS, Amazon CloudFront, PHP, Html5, Linkedin, Website, Font awesome, Youtube, Intranet, Facebook, Jquery, Java, Google Plus, Google adsense, Javascript, Tab Icon, gunicorn 19.9, Amazon web services, TLS v1.2, gunicorn, Google Pay, blogger-renderd, Wordpress, Bootstrap 2.3, Gse, _("Responsive"), Mailgun, New relic, SparkPost, Twitter, Dropbox, Django, Bootstrap, Form Html Element, Google analytics, Blogger, Blog, Opengse, Heroku, Python</t>
  </si>
  <si>
    <t>CHAOS Architects Oy</t>
  </si>
  <si>
    <t>2756811-4</t>
  </si>
  <si>
    <t>Pursimiehenkatu 26-30 C 7070</t>
  </si>
  <si>
    <t>www.chaosarchitects.com</t>
  </si>
  <si>
    <t>Software,Real Time,Real Estate,SaaS,Commercial,Data Visualization,Machine Learning,Analytics,Predictive Analytics,Information Technology,Smart Cities,Architecture,Artificial Intelligence,Big Data,B2B</t>
  </si>
  <si>
    <t>https://app.vainu.io/vainu/prospect/7000255/</t>
  </si>
  <si>
    <t>Finnish, Hubspot Forms, TLS v1.0, Vkontakte, SSL/TLS, Mysql, WordPress 5.8, Hubspot Analytics, Netlify, Google Site Verification, Google play, TLS v1.1, PHP, Html5, Linkedin, Website, Swedish, Youtube, Tumblr, Hubspot CMS, Hubspot, Facebook, Vimeo, Jquery, Elementor, Yoast SEO, Youtube Embed, Google Plus, Gravatar, Hubspot Leadflows, Javascript, Tab Icon, _("Online_Store"), TLS v1.2, Google font api, jQuery Migrate, Google tag manager, Apple App Store, Wordpress, WordPress 5, _("Responsive"), Nginx, Office 365, Slack, Twitter, HubSpot CMS Hub, Cloudflare, Form Html Element, Yoast SEO 17.1, Hubspot Live Chat, Google analytics, Instagram, Swiper Slider, Hubspot Customer Feedback, Whatsapp Website Icon, Flickity, Gmail, Apache, Nginx 1.19, English</t>
  </si>
  <si>
    <t>Fi, Sv, En, It</t>
  </si>
  <si>
    <t>CONTAKTI OY</t>
  </si>
  <si>
    <t>2623509-4</t>
  </si>
  <si>
    <t>Sirkkalantie 58</t>
  </si>
  <si>
    <t>KORPILAHTI</t>
  </si>
  <si>
    <t>www.contakti.com</t>
  </si>
  <si>
    <t>Finance,Financial Services,SaaS,Payments,FinTech,Banking,Customer Service</t>
  </si>
  <si>
    <t>https://app.vainu.io/vainu/prospect/693316/</t>
  </si>
  <si>
    <t>OWL Carousel, TLS v1.0, SSL/TLS, TLS v1.1, Mailchimp, PHP, Linkedin, Website, Youtube, Facebook, Vimeo, Jquery, Youtube Embed, Javascript, Tab Icon, TLS v1.2, Google font api, _("Responsive"), Slack, Mailgun, Twitter, Bootstrap, Cloudflare, Modernizr, Form Html Element, Google analytics, Instagram, Gmail</t>
  </si>
  <si>
    <t>Calldaddy Oy</t>
  </si>
  <si>
    <t>3109213-9</t>
  </si>
  <si>
    <t>Ruohotie 4</t>
  </si>
  <si>
    <t>VALKEALA</t>
  </si>
  <si>
    <t>https://calldaddy.io/</t>
  </si>
  <si>
    <t>Advertising,Marketing,Software,SaaS,B2C,Customer Service,B2B</t>
  </si>
  <si>
    <t>https://app.vainu.io/vainu/prospect/1980209347/</t>
  </si>
  <si>
    <t>Landbot Conversational Landing Page, Google Site Verification, Tidio Live Chat, PHP, Html5, Linkedin, Website, Font awesome, Youtube, Facebook, Vimeo, Jquery, Flickr, Youtube Embed, Javascript, Tab Icon, Google font api, Plesk, Google tag manager, Google maps, Tidio Chat, _("Responsive"), Nginx, Twitter, Bootstrap, Tawk.To Chat, Form Html Element, Modernizr, Google analytics, Instagram, Facebook Share Button Plugin, Gmail, SendinBlue, Global Site Tag</t>
  </si>
  <si>
    <t>Calqulate Metrics Oy</t>
  </si>
  <si>
    <t>3013519-2</t>
  </si>
  <si>
    <t>www.calqulate.io</t>
  </si>
  <si>
    <t>Finance,Software,Financial Services,SaaS,Small and Medium Businesses,FinTech,Analytics,Information Technology</t>
  </si>
  <si>
    <t>https://app.vainu.io/vainu/prospect/1730238846/</t>
  </si>
  <si>
    <t>section.io, Hubspot Forms, TLS v1.0, French, SSL/TLS, Stimulus, Amazon CloudFront, Google Site Verification, TLS v1.1, PHP, Teamtailor, Typeform, Html5, Linkedin, Website, Font awesome, Youtube, Hubspot CMS, Hubspot, Facebook, Afterpay, Vimeo, Jquery, Varnish, Linkedin Sign-in, Zendesk Chat, Ruby, Youtube Embed, AMP, Ziggeo, Javascript, Tab Icon, Linkedin Jobs Plugin, Amazon web services, AmazonS, iubenda, Stripe Online Payments, TLS v1.2, Segment, Google font api, Google maps, Rackcache, _("Responsive"), Zendesk, Facebook Page Plugin, New relic, Twitter, HubSpot CMS Hub, Cloudflare, Form Html Element, Google analytics, Instagram, Facebook Share Button Plugin, Facebook Like Button Plugin, Gmail, Sendgrid, Leadfeeder, Heroku, GoToWebinar, Fontfaceobserver, English</t>
  </si>
  <si>
    <t>Cardiolyse Oy</t>
  </si>
  <si>
    <t>2773211-3</t>
  </si>
  <si>
    <t>Kuortaneenkatu 2</t>
  </si>
  <si>
    <t>cardiolyse.com</t>
  </si>
  <si>
    <t>Medical,Software,Health Diagnostics,SaaS,mHealth,Machine Learning,Analytics,Health Care,Medical Device,Artificial Intelligence</t>
  </si>
  <si>
    <t>https://app.vainu.io/vainu/prospect/62937901/</t>
  </si>
  <si>
    <t>Slick, Nginx 1.17, SSL/TLS, Microsoft azure, Mysql, Google play, Node.js, PHP, Linkedin, Website, Youtube, Ant Design, Facebook, Vimeo, Jquery, Nginx 1.10, AMP, Youtube Embed, Javascript, Tab Icon, TLS v1.2, jsDelivr, Google font api, jQuery Migrate, Google tag manager, WordPress 5, Wordpress, _("Responsive"), Nginx, Slack, Twitter, Nginx 1.14, Bootstrap, Form Html Element, WordPress 5.2, Google analytics, Express, Gmail, Ubuntu, Global Site Tag</t>
  </si>
  <si>
    <t>Cinode Oy</t>
  </si>
  <si>
    <t>3139234-2</t>
  </si>
  <si>
    <t>Sörnäistenkatu 2</t>
  </si>
  <si>
    <t>https://cinode.com/fi/</t>
  </si>
  <si>
    <t>Application Performance Management,Management Information Systems,Real Time,Information Technology,Talent Management,Consumer Applications,Crowdsourcing,Skill Assessment,College Recruiting,Virtual Workforce,Training,Recruiting,Diversity,Freelance,Enterprise,Operating Systems,Business Information Systems,Collaboration,Business Development,Social Recruiting,B2C,Corporate Training,Knowledge Management,B2B,Product Management,Enterprise Software,Sourcing,Contact Management,Career Planning,Education,Small and Medium Businesses,Enterprise Applications,SaaS,Service Industry,Semantic Web,Employer Branding,Consumer Software,Online Forums,Software,Professional Services,Human Resources,Social,E-Learning,Productivity Tools,Internet,Online Portals</t>
  </si>
  <si>
    <t>https://app.vainu.io/vainu/prospect/2164818420/</t>
  </si>
  <si>
    <t>Microsoft asp.net, TLS v1.0, SSL/TLS, Amazon CloudFront, Mysql, TLS v1.1, Mailchimp, PHP, Linkedin, Website, Youtube, Intranet, Facebook, Kestrel, Jquery, Yoast SEO 16.5, Youtube Embed, Yoast SEO, Gravatar, Javascript, Tab Icon, WP Engine, Amazon web services, TLS v1.2, Google font api, jQuery Migrate, Google maps, Google tag manager, Wordpress, React, Nginx, _("Responsive"), Castle Accont Takeout Prevention, Twitter, Amazon SES, Intercom Articles, CookieYes, Form Html Element, Google analytics, Instagram, Facebook Share Button Plugin, Gmail, Intercom</t>
  </si>
  <si>
    <t>Click2Contract Oy</t>
  </si>
  <si>
    <t>2805139-5</t>
  </si>
  <si>
    <t>Tykistökatu 4 B</t>
  </si>
  <si>
    <t>TURKU</t>
  </si>
  <si>
    <t>https://www.click2contract.com/en/</t>
  </si>
  <si>
    <t>Software,Enterprise Software,Computer,Industrial,Contact Management,Enterprise,Real Time,Commercial,Small and Medium Businesses,SaaS,Business Information Systems,CRM,Service Industry,Information Technology,Legal,Sales,B2B</t>
  </si>
  <si>
    <t>https://app.vainu.io/vainu/prospect/261145985/</t>
  </si>
  <si>
    <t>Slick, Active Campaign, Litespeed, American Express, Linkedin Analytics / Advertisement Pixel, TLS v1.0, SSL/TLS, Mysql, Adobe Typekit, Divi 4.9, Google Site Verification, Force.com, TLS v1.1, PHP, Leadfeeder, Linkedin, Website, Font awesome, Youtube, Facebook, Vimeo, Jquery, Yoast SEO 16.5, Mixpanel Analytics, Flickr, Yoast SEO, Youtube Embed, Gravatar, Javascript, Tab Icon, Linkedin Insight Tag, Stripe Online Payments, TLS v1.2, Segment, Visa, Google font api, Linkedin Data Partner, MasterCard, jQuery Migrate, WordPress 5, Wordpress, Google maps, Google tag manager, _("Responsive"), Google Frontend, Slack, Pipedrive, Adnxs, Google app engine, Divi, Form Html Element, Litespeed Cache, Sanoma Tracking Pixel, Google analytics, Instagram, Gmail, Intercom, Global Site Tag</t>
  </si>
  <si>
    <t>Fi, En, De</t>
  </si>
  <si>
    <t>Cocouz Oy</t>
  </si>
  <si>
    <t>2577592-9</t>
  </si>
  <si>
    <t>Sokerilinnantie 7 C</t>
  </si>
  <si>
    <t>www.meetingpackage.com</t>
  </si>
  <si>
    <t>Software,Event Management,SaaS,E-Commerce,Events,Internet,B2C,Hospitality,B2B</t>
  </si>
  <si>
    <t>https://app.vainu.io/vainu/prospect/148241/</t>
  </si>
  <si>
    <t>Spanish, Finnish, Amazon CloudFront, Mysql, Youtube, Bootstrap 4.5, Estonian, Bootstrap 3.3, Visa, Twitter, Form Html Element, English, Hubspot Rss Feed, TLS v1.1, PHP, jQuery UI 1.10, Html5, Moment.js, Swedish, Intranet, German, Hubspot CMS, Facebook, Dutch, Jquery ui, TLS v1.2, _("Responsive"), Office 365, Slack, Latvian, Drupal, Slovak, Norwegian, Russian, Cloudflare, Extranet, Blog, American Express, Google Site Verification, Font awesome, Hubspot, Bootstrap 4.7, AMP, Linkedin Sign-in, Google Plus, Turkish, Youtube Embed, _("Online_Store"), jsDelivr, Google font api, Hubspot Marketing Hub, MasterCard, Google maps, Google tag manager, Wordpress, Bootstrap, Slovenian, Instagram, Meetingpackage, Facebook Share Button Plugin, Hubspot Forms, TLS v1.0, Flash, SSL/TLS, French, Mailchimp, Linkedin, Website, Czech, lodash, Jquery, Tab Icon, Javascript, Algolia, Hungarian, Amazon web services, Danish, Italian, HubSpot CMS Hub, Google analytics, Gmail, GoToWebinar</t>
  </si>
  <si>
    <t>Nb, Cs, De, Ru, Da, No, Fi, Es, It, Lv, Sv, En, Fr</t>
  </si>
  <si>
    <t>Congrid Oy</t>
  </si>
  <si>
    <t>2566124-3</t>
  </si>
  <si>
    <t>Mielikintie 11 C</t>
  </si>
  <si>
    <t>congrid.com</t>
  </si>
  <si>
    <t>Management Information Systems,Construction,Real Time,Apps,Information Technology,Enterprise,Commercial,Security,Cloud Management,Android,Customer Service,B2B,Product Management,Document Preparation,Mobile Apps,Enterprise Software,Industrial,SaaS,Small and Medium Businesses,Residential,Service Industry,Infrastructure,Software,Cloud Data Services,Project Management</t>
  </si>
  <si>
    <t>https://app.vainu.io/vainu/prospect/717766/</t>
  </si>
  <si>
    <t>Office365 email, OWL Carousel, Flash video, Hubspot Forms, TLS v1.0, SSL/TLS, Pinterest, Mysql, Hubspot Analytics, TLS v1.1, Mailchimp, PHP, Html5, Linkedin, Website, Font awesome, Hubspot CMS, animate.css, Hubspot, Facebook, Vimeo, Jquery, Revslider, Microsoft exchange, Outlook, Yoast SEO, Youtube Embed, Javascript, Hubspot Leadflows, Amazon web services, Revslider 6.5, _("Online_Store"), TLS v1.2, Google font api, jQuery Migrate, WordPress 5, Wordpress, Elfsight, _("Responsive"), Nginx, Contact Form 7 Wordpress Plugin, Hubspot Ads Pixel, Twitter, Wistia, Amazon SES, Bootstrap, Form Html Element, Extranet, Hubspot Live Chat, Google analytics, Instagram, Yoast SEO 16.9, Blog, GoToWebinar, Zendesk</t>
  </si>
  <si>
    <t>Fi, Et, En</t>
  </si>
  <si>
    <t>Consignor Oy</t>
  </si>
  <si>
    <t>2406520-4</t>
  </si>
  <si>
    <t>Finlaysoninkuja 17</t>
  </si>
  <si>
    <t>https://www.consignor.fi/</t>
  </si>
  <si>
    <t>Software,Delivery Service,SaaS,E-Commerce,Information Technology,Logistics,Supply Chain Management,Shipping,Delivery,Transportation</t>
  </si>
  <si>
    <t>https://app.vainu.io/vainu/prospect/145775/</t>
  </si>
  <si>
    <t>Discover, TLS v1.0, Flash, SSL/TLS, Mysql, Google Site Verification, TLS v1.1, PHP, Html5, Linkedin, Website, Youtube, Jquery, Javascript, TLS v1.2, Google tag manager, Wordpress, _("Responsive"), Twitter, Modernizr, Form Html Element, Google analytics, Apache</t>
  </si>
  <si>
    <t>ContractZen Oy</t>
  </si>
  <si>
    <t>2642898-8</t>
  </si>
  <si>
    <t>Eteläesplanadi 2</t>
  </si>
  <si>
    <t>contractzen.com/fi</t>
  </si>
  <si>
    <t>Software,Enterprise Software,SaaS,Contract Management,Enterprise,Commercial,Information Technology,Legal,Legal Tech,Document Management,API,B2B</t>
  </si>
  <si>
    <t>https://app.vainu.io/vainu/prospect/754794/</t>
  </si>
  <si>
    <t>Office365 email, Linkedin Analytics / Advertisement Pixel, Finnish, Hubspot Forms, TLS v1.0, SSL/TLS, Microsoft azure, Mysql, Hubspot Analytics, Adobe Typekit, Google Site Verification, Appinsights, TLS v1.1, PHP, Html5, Linkedin, Website, Font awesome, Youtube, Intranet, Hubspot CMS, Bootstrap 4.7, Hubspot, Facebook, Microsoft exchange, Jquery, AMP, Outlook, Linkedin Sign-in, Youtube Embed, Gravatar, Javascript, Recaptcha, Tab Icon, WP Engine, Linkedin Insight Tag, TLS v1.2, Google font api, Linkedin Data Partner, Hubspot Marketing Hub, jQuery Migrate, Google maps, Google tag manager, Wordpress, _("Responsive"), Nginx, Office 365, Slack, Hotjar, Twitter, Azure Application Insights, HubSpot CMS Hub, Bootstrap, Cloudflare, GSAP, Form Html Element, Google analytics, Facebook pixel, Blog, Hubspot Email, GoToWebinar, English</t>
  </si>
  <si>
    <t>Culinar Oy</t>
  </si>
  <si>
    <t>2634505-8</t>
  </si>
  <si>
    <t>PL 1188</t>
  </si>
  <si>
    <t>www.ultimate.ai</t>
  </si>
  <si>
    <t>Software,Enterprise Software,Real Time,SaaS,Enterprise,Commercial,Customer Service,Machine Learning,CRM,Natural Language Processing,Service Industry,Information Technology,Intelligent Systems,Virtual Assistant,Artificial Intelligence,Sales Automation,B2B</t>
  </si>
  <si>
    <t>https://app.vainu.io/vainu/prospect/686744/</t>
  </si>
  <si>
    <t>Convertize, section.io, Linkedin Analytics / Advertisement Pixel, Facebook Domain Verification, Hubspot Forms, TLS v1.0, MaxMind, SSL/TLS, Stimulus, Adobe Typekit, Google Site Verification, TLS v1.1, PHP, Teamtailor, Html5, Linkedin, Website, Youtube, Google Cloud, Hubspot CMS, Cloudflare Browser Insights, Hubspot, Facebook, Vimeo, Jquery, Typekit, Varnish, Ruby, Zendesk Chat, Youtube Embed, Giosg, Ziggeo, Javascript, Tab Icon, Polyfill, TLS v1.2, Google font api, Google tag manager, Google maps, Rackcache, _("Responsive"), Office 365, Hotjar, Zendesk, Osano, Twitter, Cloudflare, Form Html Element, Google analytics, Instagram, Cookie Consent By Insites, Facebook Share Button Plugin, Facebook Like Button Plugin, Gmail, Heroku, GoToWebinar, Fontfaceobserver, Global Site Tag</t>
  </si>
  <si>
    <t>Custobar Oy</t>
  </si>
  <si>
    <t>2645106-1</t>
  </si>
  <si>
    <t>Konepajankuja 1</t>
  </si>
  <si>
    <t>www.custobar.com</t>
  </si>
  <si>
    <t>Real Time,Information Technology,Product Search,Advertising,Enterprise,Commercial,Customer Engagement,Business Development,B2C,Customer Service,B2B,Marketing,SaaS,Personalization,E-Commerce,Social CRM,CRM,Service Industry,Multi-level Marketing,Data Integration,API,Marketing Automation,Software,Analytics,Email Marketing,Digital Marketing</t>
  </si>
  <si>
    <t>https://app.vainu.io/vainu/prospect/726457/</t>
  </si>
  <si>
    <t>TLS v1.0, SSL/TLS, Stripe, TLS v1.1, PHP, Html5, Linkedin, Website, Richrelevance, Youtube, Google Cloud, Mycashflow, Facebook, Vimeo, Jquery, Vilkas Ecommerce, Youtube Embed, Javascript, Tab Icon, _("Online_Store"), TLS v1.2, Drift Chat, Doubleclick, Google font api, Stripe Online Payments, Google tag manager, _("Responsive"), Nethit, Evolution solutions, Twitter, Hugo, Django, Form Html Element, Hugo 0.76, Gmail, Sendgrid, Custobar, Python, English</t>
  </si>
  <si>
    <t>Deal Room Events Oy</t>
  </si>
  <si>
    <t>2878793-3</t>
  </si>
  <si>
    <t>Otakaari 5 I 414 a</t>
  </si>
  <si>
    <t>www.dealroomevents.com</t>
  </si>
  <si>
    <t>Software,Event Management,SaaS,Communities,Meeting Software,Professional Networking,Events,B2B</t>
  </si>
  <si>
    <t>https://app.vainu.io/vainu/prospect/834252311/</t>
  </si>
  <si>
    <t>TLS v1.0, SSL/TLS, Amazon CloudFront, Crisp Chat, Google Site Verification, TLS v1.1, Linkedin, Website, Youtube, lodash, Facebook, Vimeo, Jquery, Clicky, Youtube Embed, Javascript, Tab Icon, Amazon web services, AmazonS, _("Online_Store"), TLS v1.2, Google font api, Pepyaka 1.19, Google maps, Wix, React, _("Responsive"), Slack, Google Firebase, Twitter, Amazon SES, Bootstrap, Google analytics, Instagram, Whatsapp Website Icon, Hubspot Email, Gmail, Leadfeeder, Pepyaka</t>
  </si>
  <si>
    <t>Dealsign Solutions Oy</t>
  </si>
  <si>
    <t>2841345-6</t>
  </si>
  <si>
    <t>Lönnrotinkatu 11</t>
  </si>
  <si>
    <t>https://www.dealsign.io/</t>
  </si>
  <si>
    <t>Software,Enterprise Software,SaaS,Information Technology,Legal Tech,Legal,Internet</t>
  </si>
  <si>
    <t>https://app.vainu.io/vainu/prospect/571626046/</t>
  </si>
  <si>
    <t>Bootstrap 4.2, MaxMind, SSL/TLS, Google Site Verification, Node.js, Force.com, Linkedin, Website, Vue.js, Font awesome, Popper 1.14, Calendly, Facebook, Jquery, Nginx 1.10, AMP, jQuery 3.3, Javascript, Talkus Chat, TLS v1.2, jsDelivr, Google font api, Popper, Google tag manager, _("Responsive"), Nginx, Slack, Google Firebase, Osano, Twitter, Nginx 1.14, Bootstrap, Underscore.js, Google analytics, Cookie Consent By Insites, Font Awesome 5.6, Nuxt.js, Gmail, Ubuntu</t>
  </si>
  <si>
    <t>DeskMe Oy</t>
  </si>
  <si>
    <t>2849031-2</t>
  </si>
  <si>
    <t>Kurbölentie 114</t>
  </si>
  <si>
    <t>PORVOO</t>
  </si>
  <si>
    <t>https://deskme.com</t>
  </si>
  <si>
    <t>Software,Real Estate,SaaS,Coworking,Service Industry,Information Technology,Internet of Things,Consumer Software,Internet,Local Business,Virtual Workforce,Office Administration</t>
  </si>
  <si>
    <t>https://app.vainu.io/vainu/prospect/614346690/</t>
  </si>
  <si>
    <t>Microsoft asp.net, Office365 email, TLS v1.0, SSL/TLS, Microsoft azure, Facebook Chat, Google Site Verification, Node.js, TLS v1.1, PHP, Linkedin, Mongodb, Website, Font awesome, Youtube, Facebook, Microsoft exchange, Jquery, Outlook, Javascript, Tab Icon, TLS v1.2, Google font api, _("Responsive"), Nginx, Microsoft IIS 10.0, Microsoft IIS, Twitter, Amazon SES, Meteor, Form Html Element, Google analytics, Instagram, Facebook Share Button Plugin, Facebook Like Button Plugin, Nginx 1.19</t>
  </si>
  <si>
    <t>Devea Software Oy</t>
  </si>
  <si>
    <t>2636398-5</t>
  </si>
  <si>
    <t>Välimerenkatu 20 B 43</t>
  </si>
  <si>
    <t>https://devea.ai</t>
  </si>
  <si>
    <t>Product Search,Artificial Intelligence,Software,SaaS,Personalization,E-Commerce,Machine Learning,Analytics,Information Technology,B2C,API</t>
  </si>
  <si>
    <t>https://app.vainu.io/vainu/prospect/688078/</t>
  </si>
  <si>
    <t>Website, TLS v1.2, TLS v1.1, Form Html Element, TLS v1.0, Google tag manager, SSL/TLS, _("Responsive"), Netlify, Gmail, Javascript, Recaptcha, Html5</t>
  </si>
  <si>
    <t>Devon Miles Oy</t>
  </si>
  <si>
    <t>2669354-6</t>
  </si>
  <si>
    <t>Katajaharjuntie 2-4 B 32</t>
  </si>
  <si>
    <t>http://speedhire.me</t>
  </si>
  <si>
    <t>Recruiting,Employment,Software,Education,SaaS,Career Planning,Human Resources,Skill Assessment,Information Technology,College Recruiting,Social Recruiting,Internet,Virtual Workforce</t>
  </si>
  <si>
    <t>https://app.vainu.io/vainu/prospect/1168558/</t>
  </si>
  <si>
    <t>Finnish, TLS v1.0, SSL/TLS, TLS v1.1, Mailchimp, PHP, Linkedin, Website, Hubspot, nginx-reuseport, Vimeo, Jquery, Jquery ui, Youtube Embed, Javascript, Tab Icon, TLS v1.2, Google font api, _("Responsive"), Nginx, jQuery UI 1.12, Yandex Metrica, Twitter, Nginx-Reuseport 1.21, Russian, UNPKG, Bootstrap, Form Html Element, Swiper Slider, English</t>
  </si>
  <si>
    <t>Fi, En, Ru</t>
  </si>
  <si>
    <t>Diktamen Oy</t>
  </si>
  <si>
    <t>2106590-3</t>
  </si>
  <si>
    <t>www.diktamen.fi</t>
  </si>
  <si>
    <t>Software,Enterprise Software,SaaS,Commercial,Speech Recognition,B2B</t>
  </si>
  <si>
    <t>https://app.vainu.io/vainu/prospect/143409/</t>
  </si>
  <si>
    <t>Linkedin, Website, Twitter, Sysnor.fi, Google.com, Google Site Verification, Slack</t>
  </si>
  <si>
    <t>Disec Oy</t>
  </si>
  <si>
    <t>2050571-9</t>
  </si>
  <si>
    <t>PL 1001</t>
  </si>
  <si>
    <t>MIKKELI</t>
  </si>
  <si>
    <t>www.disec.fi</t>
  </si>
  <si>
    <t>Information Technology,Software,SaaS</t>
  </si>
  <si>
    <t>https://app.vainu.io/vainu/prospect/491064/</t>
  </si>
  <si>
    <t>Office365 email, SSL/TLS, Mysql, WordPress 5.8, PHP, Html5, Linkedin, Microsoft Word, Website, Facebook, Microsoft exchange, Outlook, Tab Icon, Javascript, Recaptcha, TLS v1.2, Google font api, WordPress 5, Wordpress, _("Responsive"), Office 365, Microsoft IIS 10.0, Microsoft IIS, Twitter, Form Html Element, Extranet</t>
  </si>
  <si>
    <t>Documill Oy</t>
  </si>
  <si>
    <t>1057920-4</t>
  </si>
  <si>
    <t>www.documill.com</t>
  </si>
  <si>
    <t>Software,Enterprise Software,Contact Management,SaaS,Enterprise,Operating Systems,Business Information Systems,Information Technology,Document Management</t>
  </si>
  <si>
    <t>https://app.vainu.io/vainu/prospect/400562/</t>
  </si>
  <si>
    <t>Office365 email, Active Campaign, TLS v1.0, SSL/TLS, Amazon CloudFront, Smartyads, Next.js, Node.js, TLS v1.1, Mailchimp, Act-on, PHP, Html5, Linkedin, Website, Youtube, Facebook, Vercel, Salesforce, Jquery, Vimeo, Microsoft exchange, Outlook, Youtube Embed, Javascript, Tab Icon, Webpack, Amazon web services, AmazonS, TLS v1.2, Google font api, Google tag manager, Wordpress, React, _("Responsive"), Slack, Twitter, Form Html Element, Google analytics, Facebook Share Button Plugin, Zendesk</t>
  </si>
  <si>
    <t>Dream Broker Oy</t>
  </si>
  <si>
    <t>2092227-2</t>
  </si>
  <si>
    <t>Energiakuja 3</t>
  </si>
  <si>
    <t>dreambroker.com/</t>
  </si>
  <si>
    <t>Software,Enterprise Software,SaaS,Video Chat,Video,Security,Information Technology,Internet,Video Editing</t>
  </si>
  <si>
    <t>https://app.vainu.io/vainu/prospect/144562/</t>
  </si>
  <si>
    <t>Slick, Google Sign-in, Office365 email, Finnish, Flash video, Hubspot Forms, SSL/TLS, Mysql, Google Site Verification, Google play, PHP, Mailchimp, eo, Html5, Linkedin, Website, Swedish, Font awesome, Youtube, Intranet, Hubspot CMS, Bootstrap 4.7, Hubspot, Facebook, German, Yoast SEO 16.0, English, Dutch, Jquery, Microsoft exchange, Outlook, Yoast SEO, Google Plus, Gravatar, Javascript, Tab Icon, Amazon web services, TLS v1.2, jsDelivr, Google font api, WordPress 5.7, jQuery Migrate, Google tag manager, Apple App Store, Wordpress, WordPress 5, Gravity Forms 2.4, Nginx, Google maps, Dream broker, _("Responsive"), Gravity Forms, Danish, Twitter, HubSpot CMS Hub, Norwegian, Bootstrap, Cloudflare, Modernizr, Form Html Element, Zurb foundation, Google analytics, Instagram, Global Site Tag</t>
  </si>
  <si>
    <t>De, Da, Fi, Sv, En</t>
  </si>
  <si>
    <t>EKeiretsu Oy</t>
  </si>
  <si>
    <t>2541653-9</t>
  </si>
  <si>
    <t>Otavantie 9 C 9</t>
  </si>
  <si>
    <t>www.ekeiretsu.fi</t>
  </si>
  <si>
    <t>Management Information Systems,Software,Enterprise Software,SaaS,Contract Management,Small and Medium Businesses,Business Information Systems,CRM,Information Technology,Virtual Workforce,B2B</t>
  </si>
  <si>
    <t>https://app.vainu.io/vainu/prospect/698623/</t>
  </si>
  <si>
    <t>SSL/TLS, Mysql, PHP, Linkedin, Website, Youtube, Facebook, Vimeo, Jquery, Microsoft exchange, Outlook, Youtube Embed, Tab Icon, Javascript, Recaptcha, TLS v1.2, Google font api, jQuery Migrate, Google tag manager, Wordpress, _("Responsive"), Contact Form 7 Wordpress Plugin, Office 365, Slack, Twitter, Form Html Element, Google analytics, Apache, Global Site Tag</t>
  </si>
  <si>
    <t>Eazybreak Oy</t>
  </si>
  <si>
    <t>2304493-8</t>
  </si>
  <si>
    <t>Linnoitustie 11</t>
  </si>
  <si>
    <t>www.eazybreak.com</t>
  </si>
  <si>
    <t>Mobile,Mobile Payments,Mobile Apps,Software,SaaS,Apps,Internet,Employee Benefits</t>
  </si>
  <si>
    <t>https://app.vainu.io/vainu/prospect/145344/</t>
  </si>
  <si>
    <t>Slick, Wordpress 4.9, Office365 email, Wordpress 4, Linkedin Analytics / Advertisement Pixel, TLS v1.0, Flash, SSL/TLS, Mysql, Smartyads, Google Site Verification, TLS v1.1, PHP, Mailchimp, Linkedin, Website, Yoast SEO 12.3, Font awesome, Twitter Ads, Google Cloud, Bootstrap 4.7, Facebook, Vimeo, Jquery, Microsoft exchange, Outlook, Zendesk Chat, Youtube Embed, Yoast SEO, Giosg, Recaptcha, Javascript, Linkedin Insight Tag, TLS v1.2, Google font api, Linkedin Data Partner, jQuery Migrate, Google tag manager, Wordpress, _("Responsive"), Contact Form 7 Wordpress Plugin, Office 365, Slack, Mailgun, Wolt App, Twitter, Bootstrap, Cloudflare, Form Html Element, Google analytics, Facebook pixel</t>
  </si>
  <si>
    <t>Ecolane Finland Oy</t>
  </si>
  <si>
    <t>1766534-0</t>
  </si>
  <si>
    <t>Linnoitustie 6</t>
  </si>
  <si>
    <t>www.ecolane.com</t>
  </si>
  <si>
    <t>Management Information Systems,Software,Professional Services,SaaS,Information Technology,Transportation</t>
  </si>
  <si>
    <t>https://app.vainu.io/vainu/prospect/145463/</t>
  </si>
  <si>
    <t>Slick, Office365 email, Linkedin Analytics / Advertisement Pixel, Hubspot Forms, TLS v1.0, Pinterest, SSL/TLS, Stimulus, Amazon CloudFront, Hubspot Analytics, Google Site Verification, TLS v1.1, PHP, Html5, Linkedin, Website, Oracle marketing cloud, Font awesome, Hubspot CMS, Hubspot, Facebook, Vimeo, Jquery, Microsoft exchange, Varnish, Outlook, Linkedin Sign-in, AMP, Google Plus, Javascript, Tab Icon, Linkedin Insight Tag, Amazon web services, Vidyard, Bootstrap 4.4, TLS v1.2, Google font api, Linkedin Data Partner, Hubspot Marketing Hub, Bootstrap 41d8a1a7, Google tag manager, Xhtml, Wordpress, Choices, React, Nginx, Office 365, Slack, _("Responsive"), Heap, Zendesk, Twitter, HubSpot CMS Hub, Bootstrap, Cloudflare, GSAP, Form Html Element, Google analytics, Facebook pixel, Facebook Share Button Plugin, Blog, GoToWebinar, Global Site Tag</t>
  </si>
  <si>
    <t>Efecte Finland Oy</t>
  </si>
  <si>
    <t>2137580-5</t>
  </si>
  <si>
    <t>Säterinkatu 6</t>
  </si>
  <si>
    <t>https://www.efecte.com/?lang=fi</t>
  </si>
  <si>
    <t>Management Information Systems,Software,Enterprise Software,SaaS,Enterprise,Business Information Systems,Information Technology</t>
  </si>
  <si>
    <t>https://app.vainu.io/vainu/prospect/279420/</t>
  </si>
  <si>
    <t>Slick, Office365 email, Hubspot Rss Feed, Finnish, Discover, Hubspot Forms, TLS v1.0, SSL/TLS, Pvmailer, Amazon CloudFront, Google Site Verification, MagicCloud, DNA webmail, TLS v1.1, PHP, jQuery UI 1.10, Html5, AddSearch, Linkedin, Moment.js, Website, Webrobol Surveys, Font awesome, Youtube, Addthis, Swedish, German, Hubspot CMS, Bootstrap 4.7, Hubspot, Facebook, Microsoft exchange, Jquery, Brightcove, Outlook, Linkedin Sign-in, AMP, Youtube Embed, Gravatar, Javascript, Tab Icon, Jquery ui, Amazon web services, Vidyard, TLS v1.2, jsDelivr, Google font api, Hubspot Marketing Hub, jQuery Migrate, Google tag manager, Choices, _("Responsive"), Nginx, Jobilla, Drupal, Hotjar, Twitter, HubSpot CMS Hub, Bootstrap, Cloudflare, Form Html Element, Google analytics, Facebook pixel, Hubspot Email, Drupal 8, Leadfeeder, Nginx 1.19, GoToWebinar, Angularjs, English</t>
  </si>
  <si>
    <t>Efecte Oyj</t>
  </si>
  <si>
    <t>1509667-4</t>
  </si>
  <si>
    <t>www.efecte.com</t>
  </si>
  <si>
    <t>https://app.vainu.io/vainu/prospect/146179/</t>
  </si>
  <si>
    <t>Elium Oy</t>
  </si>
  <si>
    <t>2776848-2</t>
  </si>
  <si>
    <t>Oikotie 170 C</t>
  </si>
  <si>
    <t>ASKOLA</t>
  </si>
  <si>
    <t>elium.com</t>
  </si>
  <si>
    <t>Management Information Systems,Software,Enterprise Software,Real Time,Contact Management,SaaS,Enterprise,Machine Learning,Information Technology,Semantic Web,Collaboration,Productivity Tools,Crowdsourcing,Artificial Intelligence,Virtual Workforce,Knowledge Management,B2B</t>
  </si>
  <si>
    <t>https://app.vainu.io/vainu/prospect/87392288/</t>
  </si>
  <si>
    <t>ZOOM, Hubspot Forms, TLS v1.0, French, SSL/TLS, Pinterest, Mysql, Adobe Typekit, Google Site Verification, Netlify, TLS v1.1, PHP, Html5, Linkedin, Website, Gatsby, Youtube, Intranet, Hubspot CMS, Hubspot, Facebook, Workable, Jquery, Typekit, Gatsby 2.24, Mixpanel Analytics, Elementor, Vimeo, Yoast SEO, Youtube Embed, Gravatar, Javascript, Tab Icon, WP Engine, Algolia, Webpack, TLS v1.2, Google font api, Gatsby 2.32, Google tag manager, Wordpress, React, _("Responsive"), Office 365, Zendesk, Twitter, Cloudflare, Cxense, Form Html Element, Google analytics, Instagram, Facebook Share Button Plugin, Yoast SEO 16.9, Blog, Gmail, Brightcove, Intercom, GoToWebinar, English</t>
  </si>
  <si>
    <t>En, Nl, Fr</t>
  </si>
  <si>
    <t>EnerKey Group Oy</t>
  </si>
  <si>
    <t>2628229-6</t>
  </si>
  <si>
    <t>Lutakonaukio 7</t>
  </si>
  <si>
    <t>www.enerkey.com</t>
  </si>
  <si>
    <t>Management Information Systems,Software,Renewable Energy,SaaS,Power Grid,Energy Efficiency,Operating Systems,Energy Management,Information Technology,GreenTech,Sustainability,Energy,Artificial Intelligence</t>
  </si>
  <si>
    <t>https://app.vainu.io/vainu/prospect/726028/</t>
  </si>
  <si>
    <t>Office365 email, Contentful, Active Campaign, Finnish, TLS v1.0, SSL/TLS, Microsoft azure, Mysql, Appinsights, Node.js, Sustainability Report, TLS v1.1, PHP, Linkedin, Website, Youtube, Facebook, Vimeo, ActiveCampaign, Jquery, Microsoft exchange, Outlook, Yoast SEO, Gravatar, Javascript, Tab Icon, TLS v1.2, jQuery Migrate, Google tag manager, Gravity Forms, Wordpress, _("Responsive"), Nginx, Office 365, Dream broker, Twitter, Azure Application Insights, GSAP, Form Html Element, Gravity Forms 2.5, Yoast SEO 17.1, Google analytics, Express, Sendgrid, English</t>
  </si>
  <si>
    <t>EnerKey Oy</t>
  </si>
  <si>
    <t>2840649-1</t>
  </si>
  <si>
    <t>https://app.vainu.io/vainu/prospect/687139454/</t>
  </si>
  <si>
    <t>Envoice Oy</t>
  </si>
  <si>
    <t>2697568-2</t>
  </si>
  <si>
    <t>Lars Sonckin kaari 14</t>
  </si>
  <si>
    <t>envoice.eu</t>
  </si>
  <si>
    <t>Accounting,Software,Financial Services,SaaS,Small and Medium Businesses,FinTech,Information Technology,Artificial Intelligence</t>
  </si>
  <si>
    <t>https://app.vainu.io/vainu/prospect/196915032/</t>
  </si>
  <si>
    <t>American Express, Facebook Domain Verification, TLS v1.0, SSL/TLS, Mysql, Google Site Verification, Google play, TLS v1.1, PHP, Html5, Linkedin, Website, Vue.js, Font awesome, Youtube, Google Cloud, animate.css, Facebook, Convertplug, Estonian, English, Jquery, Revslider, Zendesk Chat, Yoast SEO 12.0, Yoast SEO, Youtube Embed, Gravatar, Recaptcha, Javascript, nginx 1.6, Tab Icon, Jquery ui, TLS v1.2, Google font api, MasterCard, jQuery Migrate, WordPress 5, Wordpress, Google maps, Google tag manager, Nginx, Contact Form 7 Wordpress Plugin, Office 365, React, _("Responsive"), Twitter, Intercom Articles, Nginx 1.14, Bootstrap, Cloudflare, Modernizr, Form Html Element, Google analytics, W3 total cache, Braintree Payments, Gmail, Intercom, Zendesk</t>
  </si>
  <si>
    <t>Etsimo Oy</t>
  </si>
  <si>
    <t>2671733-3</t>
  </si>
  <si>
    <t>Puutarhankatu 31 C 12</t>
  </si>
  <si>
    <t>http://www.etsimo.com/</t>
  </si>
  <si>
    <t>Mobile,Software,SaaS,Machine Learning,Information Technology,Health Care,Personal Health,Medical Device,Artificial Intelligence,B2B</t>
  </si>
  <si>
    <t>https://app.vainu.io/vainu/prospect/1169009/</t>
  </si>
  <si>
    <t>Cookiebot, Office365 email, section.io, MaxMind, Stimulus, Mysql, Microsoft azure, PHP, Teamtailor, Html5, Linkedin, Website, Popper 1.14, Font awesome, Youtube, Facebook, Vimeo, Jquery, Microsoft exchange, Varnish, Outlook, Brightcove, Ruby, Youtube Embed, Ziggeo, Javascript, Tab Icon, Google font api, Popper, Google maps, Google tag manager, Wordpress, Rackcache, _("Responsive"), Office 365, Pipedrive, Twitter, Osano, Bootstrap, Modernizr, Form Html Element, Google analytics, Facebook Like Button Plugin, Cookie Consent By Insites, Facebook Share Button Plugin, Facebook pixel, Apache, Heroku, Fontfaceobserver, Global Site Tag</t>
  </si>
  <si>
    <t>EverTech Oy</t>
  </si>
  <si>
    <t>2467481-9</t>
  </si>
  <si>
    <t>Puutarhakatu 16 B</t>
  </si>
  <si>
    <t>https://evertech.fi/</t>
  </si>
  <si>
    <t>Software,SaaS,Web Hosting,PaaS,Security,Cloud Management,Information Technology,IaaS,Cloud Computing,Cloud Data Services,Internet of Things,Cloud Infrastructure</t>
  </si>
  <si>
    <t>https://app.vainu.io/vainu/prospect/153142/</t>
  </si>
  <si>
    <t>Gravity Forms 2.3, Finnish, SSL/TLS, Mysql, Vine CRM, PHP, Linkedin, Website, German, Facebook, Jquery, Tab Icon, Javascript, Oscar ekauppa, TLS v1.2, Google font api, jQuery Migrate, Gravity Forms, Wordpress, _("Responsive"), Twitter, Bootstrap, Form Html Element, Google analytics, Facebook Share Button Plugin, Gmail, Apache, English</t>
  </si>
  <si>
    <t>Fi, Sv, En, De</t>
  </si>
  <si>
    <t>Experq Oy</t>
  </si>
  <si>
    <t>2395765-7</t>
  </si>
  <si>
    <t>PL 276</t>
  </si>
  <si>
    <t>www.experq.com</t>
  </si>
  <si>
    <t>Management Information Systems,Software,SaaS,Analytics,Information Technology,Health Care,Customer Service</t>
  </si>
  <si>
    <t>https://app.vainu.io/vainu/prospect/153446/</t>
  </si>
  <si>
    <t>Finnish, TLS v1.0, SSL/TLS, TLS v1.1, PHP, Html5, Linkedin, Website, Intranet, Facebook, English, Microsoft exchange, Jquery, Outlook, Javascript, Tab Icon, Amazon web services, TLS v1.2, Google font api, Google tag manager, Atlassian Domain Verification, _("Responsive"), SparkPost, Twitter, Form Html Element, Google analytics, Facebook Share Button Plugin, Whatsapp Website Icon, Gmail, Apache, Sendgrid, Global Site Tag</t>
  </si>
  <si>
    <t>FabricAI Oy</t>
  </si>
  <si>
    <t>2925630-9</t>
  </si>
  <si>
    <t>Pyhäjärvenkatu 5 B 204</t>
  </si>
  <si>
    <t>https://fabricai.fi</t>
  </si>
  <si>
    <t>Accounting,Software,Enterprise Software,Financial Services,SaaS,Enterprise,Small and Medium Businesses,Commercial,Machine Learning,FinTech,Analytics,Service Industry,Information Technology,Artificial Intelligence,B2B</t>
  </si>
  <si>
    <t>https://app.vainu.io/vainu/prospect/1146395029/</t>
  </si>
  <si>
    <t>American Express, TLS v1.0, Vkontakte, SSL/TLS, Mysql, Google Site Verification, TLS v1.1, PHP, Linkedin, Website, Youtube, animate.css, Facebook, Vimeo, Jquery, Flickr, Lightbox, Yoast SEO, Youtube Embed, Gravatar, Javascript, Tab Icon, _("Online_Store"), TLS v1.2, Visa, Google Pay, Google font api, MasterCard, jQuery Migrate, WordPress 5, Wordpress, Google maps, Google tag manager, Nginx, Contact Form 7 Wordpress Plugin, Office 365, Slack, _("Responsive"), Apple Pay, Google Firebase, Twitter, Bootstrap, Modernizr, Form Html Element, Yoast SEO 17.1, Whatsapp Website Icon, Gmail, Choices</t>
  </si>
  <si>
    <t>Fast Monkeys Oy</t>
  </si>
  <si>
    <t>2417581-7</t>
  </si>
  <si>
    <t>http://www.fastmonkeys.com</t>
  </si>
  <si>
    <t>Product Management,Software,Enterprise Software,SaaS,Small and Medium Businesses,Information Technology,Business Development,Internet,Virtual Workforce,B2B</t>
  </si>
  <si>
    <t>https://app.vainu.io/vainu/prospect/154121/</t>
  </si>
  <si>
    <t>MaxMind, SSL/TLS, Adobe Typekit, Google Site Verification, Linkedin, Website, Facebook, Jquery, Varnish, Javascript, TLS v1.2, Google font api, Google maps, _("Responsive"), Nginx, Slack, Webflow, Osano, Twitter, Form Html Element, Google analytics, Instagram, Cookie Consent By Insites, Gmail, Openresty</t>
  </si>
  <si>
    <t>Feedbackly Oy</t>
  </si>
  <si>
    <t>2491940-9</t>
  </si>
  <si>
    <t>Kampinkuja 2</t>
  </si>
  <si>
    <t>http://www.feedbackly.com/</t>
  </si>
  <si>
    <t>Customer Experience,Software,Enterprise Software,SaaS,Commercial,Customer Engagement,Analytics,Information Technology,Business Development,B2C,Customer Service,B2B</t>
  </si>
  <si>
    <t>https://app.vainu.io/vainu/prospect/541542/</t>
  </si>
  <si>
    <t>Active Campaign, Hubspot Forms, TLS v1.0, Pinterest, SSL/TLS, Mysql, Hubspot Analytics, Google Site Verification, TLS v1.1, PHP, Html5, Linkedin, Website, Font awesome, Youtube, Drip Ecrm, Hubspot CMS, Hubspot, Facebook, Vimeo, Jquery, Youtube Embed, Gravatar, Javascript, Tab Icon, Hubspot Leadflows, TLS v1.2, Google font api, Hubspot Marketing Hub, Google tag manager, Google maps, Wordpress, _("Responsive"), Nginx, Contact Form 7 Wordpress Plugin, Office 365, Slack, Hubspot Ads Pixel, Twitter, HubSpot CMS Hub, Bootstrap, Cloudflare, Form Html Element, Hubspot Live Chat, Google analytics, Instagram, Facebook Share Button Plugin, Blog, Gmail, Sendgrid, Leadfeeder, GoToWebinar, Global Site Tag</t>
  </si>
  <si>
    <t>Fidera Oy</t>
  </si>
  <si>
    <t>2579691-4</t>
  </si>
  <si>
    <t>Tykistökatu 4 D</t>
  </si>
  <si>
    <t>www.fidera.fi</t>
  </si>
  <si>
    <t>Business Intelligence,Software,Enterprise Software,Real Time,SaaS,Enterprise,Commercial,Electronics,RFID,Consumer,Analytics,Information Technology,Internet of Things,Information Services,Industry 4.0,B2B</t>
  </si>
  <si>
    <t>https://app.vainu.io/vainu/prospect/698914/</t>
  </si>
  <si>
    <t>Finnish, Pinterest, Vkontakte, Mysql, Paytrail, Force.com, PHP, Html5, Linkedin, Website, Tumblr, Facebook, Vimeo, Jquery, Elementor, Youtube Embed, Google Plus, Javascript, Tab Icon, Amazon web services, _("Online_Store"), Monsterinsights, Google font api, Google tag manager, WordPress 5, Wordpress, _("Responsive"), Contact Form 7 Wordpress Plugin, Twitter, Tawk.To Chat, Form Html Element, Google analytics, Facebook Share Button Plugin, Whatsapp Website Icon, Gmail, Apache, English</t>
  </si>
  <si>
    <t>Finazilla Oy</t>
  </si>
  <si>
    <t>2952460-9</t>
  </si>
  <si>
    <t>Vapaudenkatu 35a lh. 1</t>
  </si>
  <si>
    <t>www.finazilla.fi</t>
  </si>
  <si>
    <t>Accounting,Software,Enterprise Software,SaaS,Information Technology</t>
  </si>
  <si>
    <t>https://app.vainu.io/vainu/prospect/1387540967/</t>
  </si>
  <si>
    <t>Office365 email, Disqus, Flash video, TLS v1.0, SSL/TLS, Mysql, Adobe Typekit, Force.com, TLS v1.1, Mailchimp, PHP, Linkedin, Website, Youtube, Facebook, Microsoft exchange, Jquery, Outlook, Youtube Embed, Yoast SEO, Giosg, Google Plus, Gravatar, Javascript, Tab Icon, TLS v1.2, Monsterinsights, Google tag manager, Gravity Forms, Wordpress, _("Responsive"), Nginx, Office 365, Yoast SEO 16.6, Twitter, Wistia, Modernizr, Form Html Element, Gravity Forms 2.5, Google analytics, Spot.Im / Disgus</t>
  </si>
  <si>
    <t>Finbiosoft Oy</t>
  </si>
  <si>
    <t>2439453-4</t>
  </si>
  <si>
    <t>Linnoitustie 4 B</t>
  </si>
  <si>
    <t>validationmanager.com</t>
  </si>
  <si>
    <t>Software,Enterprise Software,SaaS,Commercial,Information Technology,Health Care,Quality Assurance,B2B</t>
  </si>
  <si>
    <t>https://app.vainu.io/vainu/prospect/155304/</t>
  </si>
  <si>
    <t>Vkontakte, SSL/TLS, Mysql, Google Site Verification, PHP, Mailchimp, Linkedin, Website, Youtube, Tumblr, German, Facebook, English, Vimeo, Jquery, Microsoft exchange, Outlook, Youtube Embed, Yoast SEO, Gravatar, Recaptcha, Javascript, Tab Icon, TLS v1.2, Google font api, Qzone, jQuery Migrate, Google tag manager, Gravity Forms, Wordpress, _("Responsive"), Yoast SEO 16.7, Office 365, Catapult Cookie Consent, Twitter, Zurb foundation, Form Html Element, Google analytics, W3 total cache, Whatsapp Website Icon, Apache, TripAdvisor, Snapchat, Zendesk</t>
  </si>
  <si>
    <t>Fingertip Oy</t>
  </si>
  <si>
    <t>2409346-7</t>
  </si>
  <si>
    <t>Bulevardi 21</t>
  </si>
  <si>
    <t>www.fingertip.org</t>
  </si>
  <si>
    <t>Management Information Systems,Software,Enterprise Software,Contact Management,SaaS,Enterprise,CRM,Information Technology,Collaboration,Productivity Tools,Virtual Workforce</t>
  </si>
  <si>
    <t>https://app.vainu.io/vainu/prospect/155502/</t>
  </si>
  <si>
    <t>Google Sign-in, Yoast SEO 15.8, Wordpress super cache, OWL Carousel, Flash video, Flash, SSL/TLS, Pinterest, Mysql, Google Site Verification, Livechat, PHP, Linkedin, Moment.js, Hammer.js, Website, Font awesome, Youtube, Calendly, animate.css, Facebook, Vimeo, Jquery, Yoast SEO, Youtube Embed, Google Plus, Recaptcha, Gravatar, Javascript, Tab Icon, Jquery ui, TLS v1.2, Google font api, Google Pay, jQuery Migrate, Prettyphoto, WordPress 5, Wordpress, Google tag manager, Salesforce marketing cloud, _("Responsive"), Contact Form 7 Wordpress Plugin, Chart.js, Twitter, Pardot, Bootstrap, Underscore.js, Modernizr, Form Html Element, Google analytics, Facebook Like Button Plugin, Yoast SEO 16.9, wpBakery, Blog, Gmail, Apache</t>
  </si>
  <si>
    <t>Finnchat Oy</t>
  </si>
  <si>
    <t>2472559-1</t>
  </si>
  <si>
    <t>Seminaarinkatu 32</t>
  </si>
  <si>
    <t>www.finnchat.com</t>
  </si>
  <si>
    <t>Artificial Intelligence,Software,Lead Generation,SaaS,E-Commerce,Commercial,Information Technology,Internet,Messaging,Sales,Customer Service,B2B</t>
  </si>
  <si>
    <t>https://app.vainu.io/vainu/prospect/538248/</t>
  </si>
  <si>
    <t>Landbot Conversational Landing Page, Nginx 1.20, Facebook Domain Verification, Flash video, TLS v1.0, Flash, SSL/TLS, Mysql, WordPress 5.8, Smartyads, Paytrail, Adobe Typekit, Node.js, TLS v1.1, Mailchimp, PHP, Linkedin, Website, Font awesome, Youtube, Facebook, Vimeo, Jquery, Typekit, Flickr, Yoast SEO, Youtube Embed, Javascript, Tab Icon, TLS v1.2, Google font api, ReachMee, jQuery Migrate, WordPress 5, Wordpress, Google tag manager, React, Nginx, _("Responsive"), Gravity Forms, Twitter, Premitek Nabd Chat, Form Html Element, Yoast SEO 17.0, Google analytics, Instagram, Facebook pixel, Express, Gmail, Sendgrid, Intercom, Zendesk</t>
  </si>
  <si>
    <t>First Technology Oy</t>
  </si>
  <si>
    <t>1906882-2</t>
  </si>
  <si>
    <t>Artturinkatu 2</t>
  </si>
  <si>
    <t>www.firstview.fi</t>
  </si>
  <si>
    <t>Advertising,Marketing,Software,SaaS,Digital Signage,Information Technology,Cloud Computing</t>
  </si>
  <si>
    <t>https://app.vainu.io/vainu/prospect/107399/</t>
  </si>
  <si>
    <t>Litespeed, Flash video, TLS v1.0, Flash, SSL/TLS, Google Site Verification, TLS v1.1, Mailchimp, PHP, Linkedin, Website, Youtube, Intranet, Facebook, Jquery, Elementor, Youtube Embed, Gravatar, Javascript, Tab Icon, Amazon web services, TLS v1.2, Google font api, Google tag manager, Google maps, WordPress 5, Wordpress, _("Responsive"), Nginx, Office 365, Twitter, Nginx 1.14, Litespeed Cache, Form Html Element, Instagram, Facebook pixel, Gmail, Leadfeeder, Ubuntu</t>
  </si>
  <si>
    <t>Fixably Oy</t>
  </si>
  <si>
    <t>2694664-6</t>
  </si>
  <si>
    <t>Kaisaniemenkatu 7</t>
  </si>
  <si>
    <t>fixably.com</t>
  </si>
  <si>
    <t>Management Information Systems,Software,Computer,SaaS,Commercial,Business Information Systems,Information Technology,Software Engineering,Consumer Software,B2B</t>
  </si>
  <si>
    <t>https://app.vainu.io/vainu/prospect/1607179/</t>
  </si>
  <si>
    <t>Cookiebot, Hubspot Forms, SSL/TLS, Google Site Verification, Mailchimp, Linkedin, Website, Hubspot, envoy, Facebook, Workable, Jquery, Varnish, Javascript, Tab Icon, React 0246337, Amazon web services, Doubleclick, TLS v1.2, Google font api, Hubspot Marketing Hub, Google tag manager, React, Nginx, _("Responsive"), Mailgun, Hotjar, Webflow, Twitter, Cloudflare, Pendo, Form Html Element, Hubspot Live Chat, Instagram, Hubspot Email, Gmail, Openresty</t>
  </si>
  <si>
    <t>Flashnode Oy</t>
  </si>
  <si>
    <t>2595486-3</t>
  </si>
  <si>
    <t>Kauppakatu 39</t>
  </si>
  <si>
    <t>www.flashnode.com</t>
  </si>
  <si>
    <t>Accounting,Developer APIs,Software,Enterprise Software,SaaS,Small and Medium Businesses,Commercial,Business Information Systems,Information Technology,Consumer Software,B2B</t>
  </si>
  <si>
    <t>https://app.vainu.io/vainu/prospect/556776/</t>
  </si>
  <si>
    <t>Bootstrap 4.2, OWL Carousel, Finnish, Hubspot Forms, TLS v1.0, Flash, SSL/TLS, Linkedin Analytics / Advertisement Pixel, Amazon CloudFront, Facebook Domain Verification, Paytrail, Google Site Verification, PHP, Addthis, Linkedin, Website, Font awesome, Youtube, Lytics, Hubspot CMS, Hubspot, Mycashflow, Facebook, Vimeo, Jquery, Vilkas Ecommerce, Zendesk Chat, Linkedin Sign-in, Youtube Embed, Jquery ui, Javascript, Tab Icon, Linkedin Insight Tag, Amazon web services, Google font api, Linkedin Data Partner, Epages, Hubspot Marketing Hub, Google tag manager, Google maps, _("Responsive"), Slack, Hotjar, Twitter, HubSpot CMS Hub, Bootstrap, Cloudflare, Form Html Element, Instagram, Blog, Hubspot Email, Gmail, jQuery UI 1.9, GoToWebinar, English</t>
  </si>
  <si>
    <t>Flowhaven Oy</t>
  </si>
  <si>
    <t>2737531-2</t>
  </si>
  <si>
    <t>Eteläesplanadi 22 B</t>
  </si>
  <si>
    <t>www.flowhaven.com</t>
  </si>
  <si>
    <t>Software,Enterprise Software,SaaS,Commercial,CRM,Information Technology,Legal,B2B</t>
  </si>
  <si>
    <t>https://app.vainu.io/vainu/prospect/23632293/</t>
  </si>
  <si>
    <t>SSL/TLS, Adobe Typekit, Google Site Verification, PHP, Mailchimp, Linkedin, Website, Youtube, Calendly, Facebook, Jquery, Varnish, Flickr, Youtube Embed, Javascript, TLS v1.2, Google font api, Google tag manager, _("Responsive"), Nginx, Office 365, Webflow, CookieFirst, Twitter, Embed.Ly, Form Html Element, Instagram, Facebook Share Button Plugin, Swiper Slider, Blog, Gmail, Intercom, Openresty</t>
  </si>
  <si>
    <t>Flowplayer Drive Oy</t>
  </si>
  <si>
    <t>2764935-2</t>
  </si>
  <si>
    <t>Poukamankatu 2 A 4</t>
  </si>
  <si>
    <t>KUOPIO</t>
  </si>
  <si>
    <t>flowplayer.com</t>
  </si>
  <si>
    <t>Advertising,Digital Media,Software,Real Time,SaaS,Content Delivery Network,Video Chat,Video,Video Advertising,Video on Demand,Operating Systems,DSP,Content Discovery,Video Streaming,Consumer Applications,Internet,API</t>
  </si>
  <si>
    <t>https://app.vainu.io/vainu/prospect/16367111/</t>
  </si>
  <si>
    <t>American Express, Linkedin Analytics / Advertisement Pixel, Flash video, Hubspot Forms, TLS v1.0, SSL/TLS, Amazon CloudFront, Google Site Verification, TLS v1.1, PHP, Html5, Linkedin, Website, Font awesome, Intranet, Hubspot CMS, Hubspot, Facebook, Jquery, Brightcove, Javascript, Tab Icon, Linkedin Insight Tag, Amazon web services, AmazonS, Doubleclick, TLS v1.2, Stripe Online Payments, Google font api, Linkedin Data Partner, MasterCard, Google tag manager, Wordpress, React, Nginx, _("Responsive"), Jobylon, Twitter, Bootstrap, Bootstrap 4.6, Form Html Element, Google analytics, Facebook pixel, Rollbar, Blog, Hubspot Email, Gmail, Customer.io, GoToWebinar</t>
  </si>
  <si>
    <t>Flowrite Oy</t>
  </si>
  <si>
    <t>3153955-1</t>
  </si>
  <si>
    <t>Pietarinkatu 14 lt.</t>
  </si>
  <si>
    <t>https://www.flowrite.com</t>
  </si>
  <si>
    <t>Artificial Intelligence,Developer APIs,Software,Contact Management,SaaS,Email,Information Technology,Productivity Tools,B2C,Messaging</t>
  </si>
  <si>
    <t>https://app.vainu.io/vainu/prospect/2191338911/</t>
  </si>
  <si>
    <t>SSL/TLS, Glassdoor Job Search, Google Site Verification, PHP, Typeform, Linkedin, Website, Youtube, Facebook, Workable, Jquery, Varnish, Youtube Embed, Tab Icon, Javascript, TLS v1.2, Segment, jsDelivr, Google tag manager, _("Responsive"), Nginx, Slack, Hotjar, Webflow, Twitter, Embed.Ly, Form Html Element, Instagram, Blog, Gmail, Openresty</t>
  </si>
  <si>
    <t>Foosan Oy</t>
  </si>
  <si>
    <t>2442715-6</t>
  </si>
  <si>
    <t>Hiihtotie 10 J</t>
  </si>
  <si>
    <t>VANTAA</t>
  </si>
  <si>
    <t>usetrace.com</t>
  </si>
  <si>
    <t>Application Performance Management,Developer APIs,Software,Enterprise Software,SaaS,Developer Tools,API,Enterprise Applications,Information Technology,Productivity Tools,Consumer Software,Internet,Developer Platform</t>
  </si>
  <si>
    <t>https://app.vainu.io/vainu/prospect/533791/</t>
  </si>
  <si>
    <t>Google adwords, American Express, OWL Carousel, TLS v1.0, SSL/TLS, Mysql, Google Site Verification, Node.js, TLS v1.1, Mailchimp, PHP, Braintree, Holvi Verkkokauppa, Linkedin, Website, Font awesome, Youtube, Hubspot, Facebook, Vimeo, Jquery, Mixpanel Analytics, Yoast SEO, Youtube Embed, Gravatar, Recaptcha, Nginx 1.18, Javascript, Tab Icon, Amazon web services, TLS v1.2, Google Ads Conversion Tracking, Google font api, Visual website optimizer, MasterCard, jQuery Migrate, Xhtml, Wordpress, WordPress 5, Google tag manager, Nginx, React, Slack, _("Responsive"), Twitter, Amazon SES, Bootstrap, Modernizr, Form Html Element, Google analytics, WordPress 5.6, Facebook pixel, Yoast SEO 15.9, Express, Blog, Gmail, Intercom, Ubuntu, Global Site Tag</t>
  </si>
  <si>
    <t>Frosmo Oy</t>
  </si>
  <si>
    <t>2730607-7</t>
  </si>
  <si>
    <t>frosmo.com</t>
  </si>
  <si>
    <t>Product Search,Software,Semantic Search,SaaS,Personalization,E-Commerce,Commercial,Machine Learning,Analytics,Natural Language Processing,A/B Testing,Information Technology,Semantic Web,Internet,B2C,Artificial Intelligence,B2B</t>
  </si>
  <si>
    <t>https://app.vainu.io/vainu/prospect/2764065/</t>
  </si>
  <si>
    <t>Backbone.js, Atlassian confluence, W3 Total Cache 2.1, Hubspot Forms, SSL/TLS, Mysql, Hubspot Analytics, Adobe Typekit, Google Site Verification, PHP, Mailchimp, Html5, Linkedin, Moment.js, Website, Font awesome, Frosmo, Hubspot CMS, Hubspot, Facebook, Jquery, Typekit, Java, Elementor, SAP Commerce Cloud, Youtube Embed, Gravatar, Javascript, Tab Icon, Amazon web services, _("Online_Store"), TLS v1.2, Matomo, Hubspot Marketing Hub, WordPress 5.7, Google tag manager, WordPress 5, Wordpress, _("Responsive"), Nginx, Hotjar, Usercentrics, Twitter, HubSpot CMS Hub, Cloudflare, Underscore.js, Form Html Element, Hubspot Live Chat, Google analytics, Instagram, Facebook Share Button Plugin, W3 total cache, Gmail</t>
  </si>
  <si>
    <t>Fi, En, Pl, De</t>
  </si>
  <si>
    <t>Futures Platform Oy</t>
  </si>
  <si>
    <t>2758733-1</t>
  </si>
  <si>
    <t>Kalevankatu 3 B</t>
  </si>
  <si>
    <t>https://www.futuresplatform.com/node/4</t>
  </si>
  <si>
    <t>Management Information Systems,Enterprise Software,SaaS,Enterprise,Commercial,Consulting,Machine Learning,Analytics,Predictive Analytics,Semantic Web,Productivity Tools,Crowdsourcing,Innovation Management,Knowledge Management,B2B</t>
  </si>
  <si>
    <t>https://app.vainu.io/vainu/prospect/15857102/</t>
  </si>
  <si>
    <t>Office365 email, Linkedin Analytics / Advertisement Pixel, Finnish, Hubspot Forms, SSL/TLS, PHP, Html5, Linkedin, Website, Youtube, Intranet, Hubspot CMS, Hubspot, Facebook, Facebook Comments Plugin, Afterpay, Vimeo, Jquery, Microsoft exchange, Outlook, Youtube Embed, Javascript, Tab Icon, Nginx 1.18, Linkedin Insight Tag, Hubspot Meetings Plugin, _("Online_Store"), TLS v1.2, jsDelivr, Google font api, Linkedin Data Partner, Hubspot Marketing Hub, MasterCard, Google tag manager, Wordpress, _("Responsive"), Nginx, Office 365, Slack, MailJet, Drupal, Hotjar, Drupal 7, Whatfix, Twitter, HubSpot CMS Hub, Nginx 1.16, Cloudflare, Modernizr, Form Html Element, Google analytics, Instagram, Facebook Share Button Plugin, Facebook pixel, Hubspot Sales, Blog, Drupal 8, GoToWebinar, Snapchat, English</t>
  </si>
  <si>
    <t>Futurest Oy</t>
  </si>
  <si>
    <t>2787160-7</t>
  </si>
  <si>
    <t>Nostavantie 111</t>
  </si>
  <si>
    <t>LAHTI</t>
  </si>
  <si>
    <t>futuresplatform.com</t>
  </si>
  <si>
    <t>Management Information Systems,Software,Enterprise Software,SaaS,Enterprise,Machine Learning,Analytics,Information Technology,Semantic Web,Productivity Tools,Crowdsourcing,Innovation Management,Artificial Intelligence,Knowledge Management</t>
  </si>
  <si>
    <t>https://app.vainu.io/vainu/prospect/109235796/</t>
  </si>
  <si>
    <t>GASRE Oy</t>
  </si>
  <si>
    <t>1946596-7</t>
  </si>
  <si>
    <t>Kumitehtaankatu 5</t>
  </si>
  <si>
    <t>KERAVA</t>
  </si>
  <si>
    <t>www.gasre.com</t>
  </si>
  <si>
    <t>Management Information Systems,Software,Enterprise Software,Computer,Industrial,SaaS,Enterprise,Test and Measurement,Commercial,Consulting,Oil and Gas,Residential,Service Industry,Information Technology,Quality Assurance,Energy,B2B</t>
  </si>
  <si>
    <t>https://app.vainu.io/vainu/prospect/750251/</t>
  </si>
  <si>
    <t>Linkedin, Website, TLS v1.2, Form Html Element, Recaptcha, Google tag manager, SSL/TLS, Javascript, Tab Icon, Jquery, _("Responsive"), Nginx, PHP, Drupal, Drupal 7, Mailchimp, Html5</t>
  </si>
  <si>
    <t>GROUP BUILDER OY</t>
  </si>
  <si>
    <t>2498051-7</t>
  </si>
  <si>
    <t>Isokatu 82</t>
  </si>
  <si>
    <t>OULU</t>
  </si>
  <si>
    <t>https://gbuilder.com/en/</t>
  </si>
  <si>
    <t>Construction,Software,Real Time,Real Estate,SaaS,Building Information Modeling (BIM),3D Technology,Information Technology,Architecture,Smart Building,CAD</t>
  </si>
  <si>
    <t>https://app.vainu.io/vainu/prospect/685830/</t>
  </si>
  <si>
    <t>Litespeed, Finnish, TLS v1.0, SSL/TLS, Mysql, Google Site Verification, TLS v1.1, PHP, Linkedin, Website, Swedish, Font awesome, Detectify, Youtube, German, Facebook, Estonian, Vimeo, Jquery, Instafeed, Elementor, Youtube Embed, Yoast SEO, Giosg, Recaptcha, Gravatar, Javascript, Tab Icon, WordPress 5.3, TLS v1.2, Google font api, Yoast SEO 13.0, jQuery Migrate, Google tag manager, WordPress 5, Wordpress, _("Responsive"), Office 365, Slack, Twitter, Norwegian, Bootstrap, Form Html Element, Google analytics, Swiper Slider, Gmail, Sendgrid, Leadfeeder, English</t>
  </si>
  <si>
    <t>Et, De, Fi, nn, Es, Sv, En</t>
  </si>
  <si>
    <t>Geeklab Oy</t>
  </si>
  <si>
    <t>3019760-9</t>
  </si>
  <si>
    <t>Keilaniementie 1</t>
  </si>
  <si>
    <t>www.geeklab.app</t>
  </si>
  <si>
    <t>Mobile,Developer APIs,Mobile Apps,Software,iOS,Real Time,SaaS,Developer Tools,Apps,Consumer Applications,Consumer Software,Android,App Marketing</t>
  </si>
  <si>
    <t>https://app.vainu.io/vainu/prospect/1734657951/</t>
  </si>
  <si>
    <t>Helpcrunch Chat, OWL Carousel, SSL/TLS, Google Site Verification, Select2, Stripe, PHP, Teamtailor, Html5, Linkedin, Website, Font awesome, Youtube, SweetAlert2 9, animate.css, Facebook, Vimeo, Jquery, Youtube Embed, Javascript, Tab Icon, Bootstrap 4.0, Stripe Online Payments, TLS v1.2, jsDelivr, Google font api, Popper, Google tag manager, Wordpress, _("Responsive"), Slack, Apple Pay, Twitter, Popper 1.12, UNPKG, Bootstrap, Form Html Element, Blog, Apache, SweetAlert2, Snapchat</t>
  </si>
  <si>
    <t>GetJenny Oy</t>
  </si>
  <si>
    <t>2562711-7</t>
  </si>
  <si>
    <t>Urho Kekkosen katu 4-6 A</t>
  </si>
  <si>
    <t>getjenny.com</t>
  </si>
  <si>
    <t>Product Search,Software,SaaS,Commercial,Customer Service,Customer Engagement,Machine Learning,Information Technology,Virtual Assistant,Messaging,B2C,Artificial Intelligence,Intelligent Systems,B2B</t>
  </si>
  <si>
    <t>https://app.vainu.io/vainu/prospect/552292/</t>
  </si>
  <si>
    <t>Slick, Hubspot Forms, SSL/TLS, Amazon CloudFront, Google Site Verification, Provide Support Chat, Siteheart, PHP, Html5, Linkedin, Website, Oracle marketing cloud, Youtube, Survicate, Getjenny Chat, Hubspot CMS, Hubspot, Facebook, Vimeo, Jquery, AMP, Linkedin Sign-in, Youtube Embed, Javascript, Tab Icon, Amazon web services, Nginx 1.21, Vidyard, Liveagent, TLS v1.2, Google font api, Hubspot Marketing Hub, Google tag manager, Wordpress, _("Responsive"), Nginx, Office 365, Slack, MailJet, Hotjar, LiveHelpNow, Twitter, HubSpot CMS Hub, Cloudflare, Olark, Form Html Element, Hubspot Live Chat, Instagram, Facebook Share Button Plugin, Hubspot Customer Feedback, Blog, Hubspot Email, Nice Incontact Chat, Gmail, Leadfeeder, GoToWebinar, Adroll</t>
  </si>
  <si>
    <t>Good Sign Oy</t>
  </si>
  <si>
    <t>2150692-4</t>
  </si>
  <si>
    <t>Tietokuja 2</t>
  </si>
  <si>
    <t>www.goodsignsolutions.com</t>
  </si>
  <si>
    <t>Accounting,Management Information Systems,Software,Financial Services,SaaS,Small and Medium Businesses,Payments,FinTech,Business Information Systems,Information Technology,Billing,API</t>
  </si>
  <si>
    <t>https://app.vainu.io/vainu/prospect/161973/</t>
  </si>
  <si>
    <t>Slick, Office365 email, SlideShare, Hubspot Rss Feed, Finnish, Hubspot Forms, Amazon CloudFront, Google Site Verification, PHP, Html5, Linkedin, Website, Oracle marketing cloud, Youtube, Hubspot CMS, Hubspot, Facebook, Vimeo, Jquery, Microsoft exchange, Outlook, Linkedin Sign-in, Youtube Embed, Javascript, Tab Icon, Amazon web services, Oscar ekauppa, Vidyard, Google font api, Hubspot Marketing Hub, Wordpress, _("Responsive"), Twitter, Wistia, HubSpot CMS Hub, Bootstrap, Cloudflare, Form Html Element, Google analytics, Facebook Like Button Plugin, GoToWebinar, English</t>
  </si>
  <si>
    <t>Granite Partners Oy</t>
  </si>
  <si>
    <t>1972201-1</t>
  </si>
  <si>
    <t>Kauppakatu 3 A 8</t>
  </si>
  <si>
    <t>http://www.granite.fi/</t>
  </si>
  <si>
    <t>Software,Enterprise Software,SaaS,Commercial,Compliance,Information Technology,Risk Management,B2B</t>
  </si>
  <si>
    <t>https://app.vainu.io/vainu/prospect/162268/</t>
  </si>
  <si>
    <t>Office365 email, Linkedin Analytics / Advertisement Pixel, TLS v1.0, SSL/TLS, Mysql, Google Site Verification, TLS v1.1, Mailchimp, PHP, Linkedin, Website, TLS problem, Font awesome, Youtube, Intranet, Calendly, Facebook, Vimeo, Jquery, Microsoft exchange, Outlook, Yoast SEO, Youtube Embed, Google Plus, Gravatar, Javascript, Tab Icon, Linkedin Insight Tag, Collect Chat, Nginx 1.21, Liveagent, TLS v1.2, Google font api, Pipedrive Mailigen, Linkedin Data Partner, WordPress 5.7, jQuery Migrate, Google maps, WordPress 5, Wordpress, Google tag manager, _("Responsive"), Nginx, Contact Form 7 Wordpress Plugin, Pipedrive, Yoast SEO 16.6, Hotjar, Catapult Cookie Consent, Twitter, Bootstrap, Form Html Element, Google analytics, Facebook pixel, Facebook Share Button Plugin, Blog, Leadfeeder, Global Site Tag</t>
  </si>
  <si>
    <t>Gravicon Oy</t>
  </si>
  <si>
    <t>0807661-6</t>
  </si>
  <si>
    <t>Sturenkatu 4</t>
  </si>
  <si>
    <t>www.gravicon.fi</t>
  </si>
  <si>
    <t>Construction,Software,Computer,Real Estate,SaaS,Commercial,Consulting,Information Technology,Architecture,B2B</t>
  </si>
  <si>
    <t>https://app.vainu.io/vainu/prospect/162334/</t>
  </si>
  <si>
    <t>Office365 email, Finnish, SSL/TLS, Adobe Typekit, Google Site Verification, Addthis, Linkedin, Website, Youtube, German, Facebook, Microsoft exchange, Jquery, Varnish, Outlook, Youtube Embed, Javascript, Amazon web services, TLS v1.2, Google font api, Google tag manager, Google maps, _("Responsive"), Nginx, Webflow, Leadoo, Italian, Twitter, Form Html Element, Extranet, Google analytics, Openresty, English</t>
  </si>
  <si>
    <t>Gredi Oy</t>
  </si>
  <si>
    <t>1474817-5</t>
  </si>
  <si>
    <t>gredi.fi</t>
  </si>
  <si>
    <t>Management Information Systems,Brand Marketing,CMS,Enterprise Software,Software,SaaS,Enterprise,Information Technology</t>
  </si>
  <si>
    <t>https://app.vainu.io/vainu/prospect/162393/</t>
  </si>
  <si>
    <t>Office365 email, Finnish, Flash video, Laura Rekrytointi, Flash, Mysql, Adobe Typekit, Openssl, Google play, Mod_Gnutls 0.6, PHP, Html5, Linkedin, Apache 2.4, Website, Font awesome, OpenSSL 1.0, Centos, Facebook, Bootstrap 4.5, English, Vimeo, Jquery, Microsoft exchange, Outlook, Google Plus, Javascript, Recaptcha, Tab Icon, Php 7.2, GnuTLS, Snoobi, mod_gnutls, jQuery Migrate, Google maps, WordPress 5, Wordpress, Gravity Forms, _("Responsive"), Office 365, Hotjar, Leadoo, Gnutls 3.3, Bootstrap, Form Html Element, Extranet, Google analytics, Facebook pixel, Facebook Share Button Plugin, Whatsapp Website Icon, Apache, Leadfeeder, Zendesk</t>
  </si>
  <si>
    <t>Gurufield Oy</t>
  </si>
  <si>
    <t>2382615-5</t>
  </si>
  <si>
    <t>Antinkatu 3 D</t>
  </si>
  <si>
    <t>www.gurufield.com</t>
  </si>
  <si>
    <t>Management Information Systems,Software,SaaS,Enterprise,Operating Systems,Compliance,Information Technology,Risk Management</t>
  </si>
  <si>
    <t>https://app.vainu.io/vainu/prospect/162922/</t>
  </si>
  <si>
    <t>Microsoft asp.net, Office365 email, Finnish, Google Site Verification, Linkedin, Website, Microsoft exchange, Jquery, Outlook, Tab Icon, Javascript, Recaptcha, Bootstrap 3.3, Google maps, _("Responsive"), Office 365, Slack, Microsoft IIS 10.0, Microsoft IIS, Bootstrap, Form Html Element, Google analytics, English</t>
  </si>
  <si>
    <t>Happeo Oy</t>
  </si>
  <si>
    <t>2802188-2</t>
  </si>
  <si>
    <t>Iso Roobertinkatu 4-6 A</t>
  </si>
  <si>
    <t>https://www.happeo.com/</t>
  </si>
  <si>
    <t>Management Information Systems,Real Time,Information Technology,Virtual Workforce,Video Chat,Enterprise,Collaboration,Private Social Networking,Enterprise Software,Contact Management,SaaS,Social Media,Social CRM,Consumer Software,Messaging,Social Network,Online Forums,Software,Social,Productivity Tools,Internet</t>
  </si>
  <si>
    <t>https://app.vainu.io/vainu/prospect/230978029/</t>
  </si>
  <si>
    <t>Spanish, Finnish, Facebook Domain Verification, Hubspot Forms, TLS v1.0, French, SSL/TLS, Amazon CloudFront, Go, Google Site Verification, TLS v1.1, Mailchimp, PHP, Html5, Linkedin, Website, Indeed, Youtube, Tumblr, Google Cloud, Intranet, Hubspot CMS, Hubspot, German, Facebook, Vimeo, Jquery, AMP, Linkedin Sign-in, Youtube Embed, Google Plus, Javascript, Tab Icon, Linkedin Jobs Plugin, Recruitee, Amazon web services, TLS v1.2, Google font api, Hubspot Marketing Hub, Google tag manager, Atlassian Domain Verification, Wordpress, _("Responsive"), Caddy, Italian, Twitter, HubSpot CMS Hub, Cloudflare, Modernizr, Form Html Element, Extranet, Japanese, Google analytics, Facebook Share Button Plugin, Whatsapp Website Icon, Blog, Hubspot Email, Gmail, GoToWebinar, English</t>
  </si>
  <si>
    <t>De, Fi, Ja, Es, It, En, Fr</t>
  </si>
  <si>
    <t>HeadPower Oy</t>
  </si>
  <si>
    <t>1713828-4</t>
  </si>
  <si>
    <t>Harakantie 18 B</t>
  </si>
  <si>
    <t>www.headpower.fi</t>
  </si>
  <si>
    <t>Software,SaaS,Water,Information Technology,Cloud Data Services,Telecommunications</t>
  </si>
  <si>
    <t>https://app.vainu.io/vainu/prospect/165742/</t>
  </si>
  <si>
    <t>Microsoft asp.net, Office365 email, Linkedin Analytics / Advertisement Pixel, Finnish, Flash video, TLS v1.0, Flash, SSL/TLS, Microsoft azure, Mysql, WordPress 5.8, Smartyads, Appinsights, Adobe Typekit, Google Site Verification, Google play, TLS v1.1, PHP, Linkedin, Website, Swedish, Youtube, Facebook, Vimeo, Jquery, Microsoft exchange, Outlook, Flickr, Yoast SEO, Youtube Embed, Gravatar, Javascript, Tab Icon, Linkedin Insight Tag, TLS v1.2, Segment, Google font api, Linkedin Data Partner, jQuery Migrate, Apple App Store, Wordpress, WordPress 5, _("Responsive"), Nginx, Office 365, Microsoft IIS, Hotjar, Adnxs, Leadoo, Twitter, ePressi, Microsoft IIS 8.5, Azure Application Insights, Three.js, ePressi.com, Form Html Element, Yoast SEO 17.1, Sanoma Tracking Pixel, Google analytics, Instagram, Facebook pixel, Sendgrid, Leadfeeder, English</t>
  </si>
  <si>
    <t>Heeros Oyj</t>
  </si>
  <si>
    <t>1598868-0</t>
  </si>
  <si>
    <t>Televisiokatu 4</t>
  </si>
  <si>
    <t>www.heeros.com</t>
  </si>
  <si>
    <t>Accounting,Finance,Software,Enterprise Software,Financial Services,SaaS,Business Information Systems,Information Technology,B2B</t>
  </si>
  <si>
    <t>https://app.vainu.io/vainu/prospect/107404/</t>
  </si>
  <si>
    <t>Office365 email, Hubspot Rss Feed, Finnish, Hubspot Forms, TLS v1.0, SSL/TLS, Amazon CloudFront, Google play, TLS v1.1, PHP, Linkedin, Website, Youtube, Hubspot CMS, Hubspot, Facebook, Microsoft exchange, Jquery, AMP, Outlook, Linkedin Sign-in, Youtube Embed, Javascript, Tab Icon, Amazon web services, AmazonS, TLS v1.2, Google font api, Hubspot Marketing Hub, Wordpress, _("Responsive"), Office 365, MailJet, Zendesk, Twitter, HubSpot CMS Hub, Cloudflare, Form Html Element, Google analytics, Instagram, Hubspot Email, Leadfeeder, GoToWebinar, English</t>
  </si>
  <si>
    <t>Fi, En, Nl</t>
  </si>
  <si>
    <t>Hillava Oy</t>
  </si>
  <si>
    <t>3146629-2</t>
  </si>
  <si>
    <t>hillava.com</t>
  </si>
  <si>
    <t>Software,Enterprise Software,SaaS,Information Technology,Software Engineering</t>
  </si>
  <si>
    <t>https://app.vainu.io/vainu/prospect/2174767964/</t>
  </si>
  <si>
    <t>Office365 email, Linkedin Analytics / Advertisement Pixel, GeneratePress 3.0, Facebook Domain Verification, TLS v1.0, Vkontakte, SSL/TLS, Mysql, Google Site Verification, TLS v1.1, Mailchimp, PHP, Html5, Linkedin, Website, Font awesome, Tumblr, Elementor 1.1, Hubspot, Facebook, Vimeo, Jquery, Microsoft exchange, Outlook, Elementor, Yoast SEO, Google Plus, Gravatar, Recaptcha, Javascript, Tab Icon, Linkedin Insight Tag, Underscore.js 1.13, _("Online_Store"), TLS v1.2, Google font api, Linkedin Data Partner, jQuery Migrate, Opencart, Google tag manager, Wordpress, _("Responsive"), Nginx, Office 365, Slack, Hotjar, Twitter, Bootstrap, Underscore.js, GeneratePress, Form Html Element, Extranet, Yoast SEO 17.1, Google analytics, Facebook pixel, Swiper Slider, Whatsapp Website Icon, Blog, Booking Widget (All), Creamailer</t>
  </si>
  <si>
    <t>Homerun Oy</t>
  </si>
  <si>
    <t>1059270-8</t>
  </si>
  <si>
    <t>PL 185</t>
  </si>
  <si>
    <t>homerun.net</t>
  </si>
  <si>
    <t>Management Information Systems,Construction,Software,Real Estate,SaaS,Facility Management,Information Technology,Internet,Smart Building</t>
  </si>
  <si>
    <t>https://app.vainu.io/vainu/prospect/452330/</t>
  </si>
  <si>
    <t>Finnish, Hubspot Forms, TLS v1.0, Flash, SSL/TLS, Amazon CloudFront, Mysql, WordPress 5.8, Hubspot Analytics, Google Site Verification, TLS v1.1, PHP, Linkedin, Website, Oracle marketing cloud, Font awesome, Swedish, Youtube, Google Cloud, Resurs Bank Instalment/Invoice, Hubspot CMS, Hubspot, Facebook, Vimeo, Jquery, AMP, Linkedin Sign-in, Lightbox, Yoast SEO, Youtube Embed, Javascript, Tab Icon, Hubspot Leadflows, Amazon web services, TLS v1.2, Google font api, Homerun, Hubspot Marketing Hub, jQuery Migrate, Prettyphoto, WordPress 5, Wordpress, Google tag manager, _("Responsive"), Hubspot Ads Pixel, Twitter, HubSpot CMS Hub, Bootstrap, Cloudflare, Form Html Element, Yoast SEO 17.1, Google analytics, Facebook Like Button Plugin, Heman, Blog, Hubspot Email, Gmail, GoToWebinar, English</t>
  </si>
  <si>
    <t>Hookle Oy</t>
  </si>
  <si>
    <t>2853534-9</t>
  </si>
  <si>
    <t>Mannerheiminaukio 1 A</t>
  </si>
  <si>
    <t>www.hookle.net</t>
  </si>
  <si>
    <t>Twitter,Advertising,Software,SaaS,Social Media Marketing,Social Media,Social CRM,Facebook,Apps,Social,Social Media Advertising,Social Media Management</t>
  </si>
  <si>
    <t>https://app.vainu.io/vainu/prospect/647520027/</t>
  </si>
  <si>
    <t>Linkedin Analytics / Advertisement Pixel, Facebook Domain Verification, TLS v1.0, SSL/TLS, Google Site Verification, Google play, TLS v1.1, PHP, Html5, Linkedin, Website, Youtube, lodash, Facebook, Jquery, Instafeed, AMP, Zendesk Chat, Javascript, Tab Icon, Linkedin Insight Tag, _("Online_Store"), TLS v1.2, Linkedin Data Partner, Pepyaka 1.19, Wix, React, _("Responsive"), Google Firebase, Twitter, Bootstrap, Cloudflare, Form Html Element, Google analytics, Instagram, Whatsapp Website Icon, Gmail, Pepyaka, Zendesk</t>
  </si>
  <si>
    <t>Hostaway Oy</t>
  </si>
  <si>
    <t>2726246-5</t>
  </si>
  <si>
    <t>Messikuja 2</t>
  </si>
  <si>
    <t>https://www.hostaway.com/</t>
  </si>
  <si>
    <t>Vacation Rental,Mobile Apps,Software,Real Estate,Reservations,SaaS,Property Management,Commercial,B2C,Travel,B2B</t>
  </si>
  <si>
    <t>https://app.vainu.io/vainu/prospect/2764819/</t>
  </si>
  <si>
    <t>Trustpilot, Active Campaign, Contentful, Google adwords, SSL/TLS, Amazon CloudFront, Google Site Verification, Google play, Stripe, PHP, Mailchimp, Typeform, Html5, Linkedin, Website, Gatsby, Youtube, Twitter Ads, Hubspot, Facebook, Google remarketing, Jquery, Mixpanel Analytics, Zendesk Chat, Youtube Embed, Javascript, Recaptcha, Tab Icon, Recruitee, Webpack, Amazon web services, AmazonS, Doubleclick, TLS v1.2, Google Ads Conversion Tracking, Google font api, Stripe Online Payments, Segment, Gatsby 2.28, Google tag manager, Google maps, Wordpress, React, Nginx, Quora, Slack, _("Responsive"), Google Conversion, Hotjar, Twitter, Cloudflare, Tawk.To Chat, Form Html Element, Extranet, Google analytics, Instagram, Facebook Share Button Plugin, Facebook pixel, Gmail, Booking Widget (All), Openresty, Zendesk</t>
  </si>
  <si>
    <t>Hotellinx Group Oy</t>
  </si>
  <si>
    <t>1669909-8</t>
  </si>
  <si>
    <t>Uudenmaankatu 6 A</t>
  </si>
  <si>
    <t>http://www.hotellinx.com/</t>
  </si>
  <si>
    <t>Management Information Systems,Software,SaaS,Information Technology,Hospitality</t>
  </si>
  <si>
    <t>https://app.vainu.io/vainu/prospect/472391/</t>
  </si>
  <si>
    <t>Microsoft asp.net, Office365 email, Finnish, TLS v1.0, SSL/TLS, Bootstrap 3.4, TLS v1.1, PHP, Html5, Website, Swedish, Jquery, Outlook, Javascript, Tab Icon, Segment, jsDelivr, Google font api, _("Responsive"), Hotellinx, Microsoft IIS 10.0, Microsoft IIS, Drupal, Drupal 7, Adnxs, Bootstrap, Form Html Element, Sanoma Tracking Pixel, Google analytics, Booking Widget (All), Apache, Microsoft ASP.NET 4.0, English</t>
  </si>
  <si>
    <t>Howspace Oy</t>
  </si>
  <si>
    <t>2153753-6</t>
  </si>
  <si>
    <t>Lönnrotinkatu 5</t>
  </si>
  <si>
    <t>howspace.com/fi</t>
  </si>
  <si>
    <t>Corporate Training,Software,Enterprise Software,Education,SaaS,Enterprise,Machine Learning,Information Technology,Collaboration,Productivity Tools,Artificial Intelligence,Virtual Workforce,Knowledge Management,B2B</t>
  </si>
  <si>
    <t>https://app.vainu.io/vainu/prospect/172667/</t>
  </si>
  <si>
    <t>ChargeBee, Finnish, Facebook Domain Verification, Hubspot Forms, Ms, Stimulus, Amazon CloudFront, Go, Google Site Verification, PHP, Html5, Linkedin, Website, Swedish, Indeed, Youtube, Tumblr, Intranet, Hubspot CMS, Hubspot, Facebook, Google Optimize, Chargebee 2, Vimeo, Jquery, AMP, Linkedin Sign-in, Youtube Embed, Google Plus, Javascript, Tab Icon, Jquery ui, Howspace, Recruitee, Amazon web services, Vidyard, _("Online_Store"), Segment, Google font api, Hubspot Marketing Hub, Google tag manager, _("Responsive"), Nginx, Caddy, jQuery UI 1.12, Leadoo, Castle Accont Takeout Prevention, Giropay, Twitter, HubSpot CMS Hub, Cloudflare, Form Html Element, Google analytics, Facebook Share Button Plugin, Hubspot Customer Feedback, Whatsapp Website Icon, Hubspot Email, Blog, Gmail, Booking Widget (All), Intercom, GoToWebinar, English</t>
  </si>
  <si>
    <t>HoxHunt Oy</t>
  </si>
  <si>
    <t>2758722-7</t>
  </si>
  <si>
    <t>Porkkalankatu 3</t>
  </si>
  <si>
    <t>www.hoxhunt.com</t>
  </si>
  <si>
    <t>Network Security,Software,Enterprise Software,SaaS,Commercial,Security,Cyber Security,Information Technology,Training,B2B</t>
  </si>
  <si>
    <t>https://app.vainu.io/vainu/prospect/15857079/</t>
  </si>
  <si>
    <t>Office365 email, Linkedin Analytics / Advertisement Pixel, Hubspot Forms, TLS v1.0, Flash, SSL/TLS, Mysql, Hubspot Analytics, Google Site Verification, Ruby on rails, TLS v1.1, PHP, Html5, Linkedin, Fastly, Website, Youtube, Intranet, Hubspot CMS, Hubspot, Facebook, English, Salesforce, Jquery, Microsoft exchange, Varnish, Outlook, Zendesk Chat, Ruby, Youtube Embed, Gravatar, Javascript, Tab Icon, Hubspot Leadflows, WP Engine, iubenda, Doubleclick, TLS v1.2, Google font api, GitHub Pages, Google tag manager, Atlassian Domain Verification, Wordpress, _("Responsive"), Slack, Mailgun, Danish, Lever, Twitter, HubSpot CMS Hub, UNPKG, Cloudflare, GSAP, Form Html Element, Google analytics, Facebook Share Button Plugin, Blog, Hubspot Email, Snapchat, Zendesk</t>
  </si>
  <si>
    <t>HyperIn Oy</t>
  </si>
  <si>
    <t>2208507-6</t>
  </si>
  <si>
    <t>Tammasaarenkatu 1</t>
  </si>
  <si>
    <t>www.hyperin.com</t>
  </si>
  <si>
    <t>Product Search,Mobile,Marketing,Software,Real Time,Real Estate,SaaS,Information Technology,Retail Technology,B2C,Retail</t>
  </si>
  <si>
    <t>https://app.vainu.io/vainu/prospect/558902/</t>
  </si>
  <si>
    <t>Slick, Linkedin Analytics / Advertisement Pixel, Google Site Verification, Node.js, PHP, Mailchimp, Html5, Addthis, Linkedin, Website, Font awesome, Youtube, Ghost 3.13, Intranet, animate.css, Cowboy, Facebook, Vimeo, Jquery, AMP, Youtube Embed, Gravatar, Javascript, Recaptcha, Tab Icon, Google adsense, Linkedin Insight Tag, Amazon web services, jsDelivr, Google font api, Linkedin Data Partner, Google tag manager, _("Responsive"), Nginx, Slack, Zendesk, Twitter, Amazon SES, Nginx 1.14, Bootstrap, Form Html Element, Google analytics, Facebook Share Button Plugin, Express, Blog, Sendgrid, Ghost, Leadfeeder, Heroku, Ubuntu, Global Site Tag</t>
  </si>
  <si>
    <t>Indukt.io Oy</t>
  </si>
  <si>
    <t>2870722-7</t>
  </si>
  <si>
    <t>Firdonkatu 2 T 63</t>
  </si>
  <si>
    <t>indukt.io</t>
  </si>
  <si>
    <t>Accounting,Software,SaaS,Payments,Information Technology,Billing</t>
  </si>
  <si>
    <t>https://app.vainu.io/vainu/prospect/730372319/</t>
  </si>
  <si>
    <t>TLS v1.0, SSL/TLS, Amazon CloudFront, Google Site Verification, Stripe, TLS v1.1, PHP, Website, Font awesome, Facebook, Javascript, Amazon web services, AmazonS, Stripe Online Payments, TLS v1.2, Google font api, MasterCard, Google tag manager, _("Responsive"), Twitter, Bootstrap, Google analytics, Facebook Share Button Plugin, Global Site Tag</t>
  </si>
  <si>
    <t>InfoToggle Oy</t>
  </si>
  <si>
    <t>3003348-7</t>
  </si>
  <si>
    <t>Metsänvartijantie 12 B</t>
  </si>
  <si>
    <t>infotoggle.com</t>
  </si>
  <si>
    <t>Software,Contact Management,SaaS,E-Commerce,Small and Medium Businesses,Information Technology,Internet,B2C,Messaging,Customer Service</t>
  </si>
  <si>
    <t>https://app.vainu.io/vainu/prospect/1638139228/</t>
  </si>
  <si>
    <t>Finnish, SSL/TLS, Google Site Verification, PHP, Html5, Linkedin, Website, Prism, English, Jquery, Google adsense, Javascript, Amazon web services, TLS v1.2, Google tag manager, _("Responsive"), Nginx, Slack, Mailgun, Twitter, Bootstrap, Form Html Element, Google analytics, Global Site Tag</t>
  </si>
  <si>
    <t>Infrakit Group Oy</t>
  </si>
  <si>
    <t>2737848-4</t>
  </si>
  <si>
    <t>https://infrakit.com/fi</t>
  </si>
  <si>
    <t>Management Information Systems,Construction,Software,SaaS,Information Technology</t>
  </si>
  <si>
    <t>https://app.vainu.io/vainu/prospect/2762458/</t>
  </si>
  <si>
    <t>Office365 email, Finnish, French, TLS v1.0, Flash, SSL/TLS, Mysql, Paytrail, Adobe Typekit, Google Site Verification, Google play, TLS v1.1, Keen.Io Analytics, Mailchimp, PHP, Html5, Linkedin, Website, Popper 1.14, Swedish, Youtube, Gravity Forms, Atlassian, German, Facebook, English, Dutch, Jquery, Nginx 1.10, Microsoft exchange, Outlook, Youtube Embed, Yoast SEO, Gravatar, Recaptcha, Javascript, WP Engine, Tab Icon, GrooveHQ, Amazon web services, TLS v1.2, Google font api, Popper, jQuery Migrate, Apple App Store, Wordpress, Gravity Forms 2.4, Atlassian Domain Verification, Nginx, Office 365, Google tag manager, Slack, _("Responsive"), Sr, Twitter, Yoast SEO 12.7, Norwegian, Bugsnag, Bootstrap, Form Html Element, Google analytics, Global Site Tag</t>
  </si>
  <si>
    <t>De, No, Fi, nn, Es, Sv, En, Nl, Fr</t>
  </si>
  <si>
    <t>Integral Oy</t>
  </si>
  <si>
    <t>1980908-8</t>
  </si>
  <si>
    <t>Metsänneidonkuja 8</t>
  </si>
  <si>
    <t>www.integral.fi</t>
  </si>
  <si>
    <t>Software,Web Development,SaaS,E-Commerce,Web Hosting,Consulting,Operating Systems,Professional Networking,Information Technology,Software Engineering,Internet of Things,Information Services,Information and Communications Technology (ICT)</t>
  </si>
  <si>
    <t>https://app.vainu.io/vainu/prospect/107414/</t>
  </si>
  <si>
    <t>Jimdo, Clipboard.js, Finnish, SSL/TLS, Adobe Typekit, Google Site Verification, Netlify, PHP, Linkedin, Website, Swedish, Weglot, Facebook, Vimeo, Jquery, Shopify, Varnish, Javascript, Pipedrive Leadbooster, _("Online_Store"), TLS v1.2, Google font api, Google tag manager, Wordpress, _("Responsive"), Nginx, Pipedrive, Apple Pay, Hotjar, Webflow, Twitter, Dropbox, Form Html Element, Booking Widget (All), Openresty, English</t>
  </si>
  <si>
    <t>Jakamo Osakeyhtiö</t>
  </si>
  <si>
    <t>2475188-8</t>
  </si>
  <si>
    <t>Keskuskatu 10 C 18</t>
  </si>
  <si>
    <t>SEINÄJOKI</t>
  </si>
  <si>
    <t>jakamo.net</t>
  </si>
  <si>
    <t>Management Information Systems,Manufacturing,Information Technology,Supply Chain Management,Virtual Workforce,Real Estate,Enterprise,Commercial,Collaboration,Cloud Management,B2B,Product Management,Enterprise Software,Sourcing,Industrial,Contract Management,SaaS,Procurement,Residential,Software,Internet</t>
  </si>
  <si>
    <t>https://app.vainu.io/vainu/prospect/538719/</t>
  </si>
  <si>
    <t>section.io, OWL Carousel, TLS v1.0, Pinterest, SSL/TLS, Stimulus, Mysql, Microsoft azure, WordPress 5.8, Force.com, TLS v1.1, PHP, Teamtailor, Linkedin, Website, Font awesome, Youtube, animate.css, Facebook, Vimeo, Jquery, Revslider, Varnish, Ruby, Yoast SEO, Youtube Embed, Gravatar, Ziggeo, Javascript, Pipedrive Leadbooster, Underscore.js 1.13, _("Online_Store"), TLS v1.2, Monsterinsights, Google font api, jQuery Migrate, Google tag manager, WordPress 5, Wordpress, Rackcache, Revslider 6.2, Google maps, Contact Form 7 Wordpress Plugin, _("Responsive"), Pipedrive, Twitter, Bootstrap, Cloudflare, Underscore.js, Form Html Element, Extranet, Yoast SEO 17.1, Google analytics, Facebook Like Button Plugin, Facebook Share Button Plugin, Leadfeeder, Heroku, Fontfaceobserver</t>
  </si>
  <si>
    <t>Jamix Oy</t>
  </si>
  <si>
    <t>0834199-3</t>
  </si>
  <si>
    <t>Sepänkatu 14 C</t>
  </si>
  <si>
    <t>www.jamix.fi</t>
  </si>
  <si>
    <t>Enterprise Resource Planning (ERP),Online Forums,Software,Enterprise Software,SaaS,Cooking,Commercial,Restaurants,B2B</t>
  </si>
  <si>
    <t>https://app.vainu.io/vainu/prospect/182580/</t>
  </si>
  <si>
    <t>Slick, Office365 email, Viber Public Chat, TLS v1.0, Pinterest, Vkontakte, SSL/TLS, Mysql, Viber Share Button, WordPress 5.8, Google Site Verification, Force.com, TLS v1.1, PHP, Super Socializer, Linkedin, Website, Webrobol Surveys, Super Socializer 1632204694, Youtube, Tumblr, Facebook, Vimeo, Jquery, Microsoft exchange, Outlook, Yoast SEO, Youtube Embed, Javascript, Tab Icon, _("Online_Store"), TLS v1.2, Google font api, Qzone, jQuery Migrate, Redis, WordPress 5, Wordpress, Atlassian Domain Verification, Google tag manager, _("Responsive"), Office 365, Wp rocket, Twitter, Cloudflare, Form Html Element, Yoast SEO 17.1, Redis Object Cache, Google analytics, Instagram, Facebook Share Button Plugin, Whatsapp Website Icon, Leadfeeder, Zendesk</t>
  </si>
  <si>
    <t>Jobilla Oy</t>
  </si>
  <si>
    <t>2655898-5</t>
  </si>
  <si>
    <t>Vuorikatu 16 A 8</t>
  </si>
  <si>
    <t>https://jobilla.com/</t>
  </si>
  <si>
    <t>Recruiting,Marketing,Advertising,Software,SaaS,Commercial,Human Resources,Information Technology,Staffing Agency,Employer Branding,Social Recruiting,Internet,B2B</t>
  </si>
  <si>
    <t>https://app.vainu.io/vainu/prospect/739805/</t>
  </si>
  <si>
    <t>Slick, Finnish, Facebook Domain Verification, Hubspot Forms, TLS v1.0, SSL/TLS, Amazon CloudFront, Google Site Verification, Bootstrap 3.4, TLS v1.1, PHP, jQuery UI 1.10, Leadfeeder, Html5, Linkedin, Website, Font awesome, Youtube, German, Hubspot CMS, Hubspot, Facebook, Vimeo, Jquery, AMP, Linkedin Sign-in, Youtube Embed, Google Plus, Javascript, Tab Icon, Jquery ui, Amazon web services, Hubspot Meetings Plugin, TLS v1.2, jsDelivr, Google font api, jQuery Migrate, Google tag manager, Choices, _("Responsive"), Nginx, Jobilla, Office 365, Latvian, Hotjar, Twitter, HubSpot CMS Hub, Bootstrap, Cloudflare, Form Html Element, Google analytics, Instagram, Facebook pixel, Hubspot Sales, Blog, Gmail, Sendgrid, Intercom, Nginx 1.19, GoToWebinar, English</t>
  </si>
  <si>
    <t>Lv, Fi, En, De</t>
  </si>
  <si>
    <t>Joiqucom Oy</t>
  </si>
  <si>
    <t>2055367-3</t>
  </si>
  <si>
    <t>Kasarmintie 21</t>
  </si>
  <si>
    <t>www.joiqu.com</t>
  </si>
  <si>
    <t>Management Information Systems,Software,Enterprise Software,Contact Management,SaaS,Enterprise,Meeting Software,Information Technology,Collaboration,Project Management,Productivity Tools,Virtual Workforce,Task Management</t>
  </si>
  <si>
    <t>https://app.vainu.io/vainu/prospect/326501/</t>
  </si>
  <si>
    <t>Slick, Google Shopping, Office365 email, Google adwords, SlideShare, Finnish, SSL/TLS, Adobe Typekit, Google Site Verification, PHP, Mailchimp, Addthis, Linkedin, Website, Varnish 5.0, Youtube, Twitter Ads, Intranet, Facebook, Google remarketing, Microsoft exchange, Jquery, Varnish, Outlook, Youtube Embed, Javascript, Tab Icon, Doubleclick, TLS v1.2, Snoobi, Google font api, Google tag manager, Wordpress, _("Responsive"), Nginx, Office 365, Google Conversion, Mailgun, Twitter, Dropbox, Zurb foundation, Modernizr, Form Html Element, Extranet, Google analytics, Instagram, Facebook pixel, English</t>
  </si>
  <si>
    <t>Joisto Group Oy</t>
  </si>
  <si>
    <t>1812843-2</t>
  </si>
  <si>
    <t>Keskikatu 4 P 5</t>
  </si>
  <si>
    <t>www.joisto.com</t>
  </si>
  <si>
    <t>Software,Enterprise Software,SaaS,Enterprise,Commercial,Compliance,Blockchain,Information Technology,Document Management,API,B2B</t>
  </si>
  <si>
    <t>https://app.vainu.io/vainu/prospect/477861/</t>
  </si>
  <si>
    <t>Slick, Flash video, TLS v1.0, Flash, SSL/TLS, Mysql, WordPress 5.8, Google Site Verification, Force.com, TLS v1.1, PHP, Linkedin, Website, Youtube, Facebook, Vimeo, Jquery, Flickr, Youtube Embed, Yoast SEO, Gravatar, Javascript, Tab Icon, TLS v1.2, Monsterinsights, Google font api, jQuery Migrate, Google tag manager, WordPress 5, Wordpress, _("Responsive"), Twitter, Cloudflare, Form Html Element, Extranet, Yoast SEO 17.1, Google analytics, Gmail, Global Site Tag</t>
  </si>
  <si>
    <t>Kausal Oy</t>
  </si>
  <si>
    <t>3128135-1</t>
  </si>
  <si>
    <t>Huopalahdentie 10 B 1</t>
  </si>
  <si>
    <t>https://kausal.tech</t>
  </si>
  <si>
    <t>Management Information Systems,Software,SaaS,Enterprise,Analytics,Information Technology,Environment,Information Services</t>
  </si>
  <si>
    <t>https://app.vainu.io/vainu/prospect/2140132256/</t>
  </si>
  <si>
    <t>Finnish, TLS v1.0, SSL/TLS, Google Site Verification, TLS v1.1, Html5, Linkedin, Website, Popper 1.14, Calendly, Microsoft exchange, Jquery, Outlook, Javascript, Tab Icon, TLS v1.2, Popper, _("Responsive"), Nginx, Office 365, Twitter, Nginx 1.14, Bootstrap, Gmail, Ubuntu, English</t>
  </si>
  <si>
    <t>Kendis oy</t>
  </si>
  <si>
    <t>2874062-5</t>
  </si>
  <si>
    <t>www.kendis.io</t>
  </si>
  <si>
    <t>Application Performance Management,Management Information Systems,Software,Enterprise Software,SaaS,Enterprise,Enterprise Applications,Information Technology</t>
  </si>
  <si>
    <t>https://app.vainu.io/vainu/prospect/786916587/</t>
  </si>
  <si>
    <t>Hubspot Forms, TLS v1.0, SSL/TLS, Amazon CloudFront, Mysql, Spring, Google Site Verification, TLS v1.1, PHP, Leadfeeder, Linkedin, Website, Youtube, Hubspot CMS, Hubspot, Facebook, Jquery, Java, Youtube Embed, Gravatar, Javascript, Recaptcha, Tab Icon, WP Engine, Linkedin Insight Tag, Amazon web services, TLS v1.2, Google font api, Linkedin Data Partner, SweetAlert, Google tag manager, Xhtml, Wordpress, _("Responsive"), Nginx, Contact Form 7 Wordpress Plugin, Mailgun, Hotjar, Castle Accont Takeout Prevention, Twitter, Intercom Articles, Cloudflare, Form Html Element, Google analytics, Facebook Share Button Plugin, Gmail, Intercom, GoToWebinar, Global Site Tag</t>
  </si>
  <si>
    <t>Keto Software Oy</t>
  </si>
  <si>
    <t>1849939-9</t>
  </si>
  <si>
    <t>Pirttitie 8</t>
  </si>
  <si>
    <t>RIIHIMÄKI</t>
  </si>
  <si>
    <t>http://www.ketosoftware.com/fi/</t>
  </si>
  <si>
    <t>Enterprise Resource Planning (ERP),Management Information Systems,Software,Enterprise Software,Computer,SaaS,Enterprise,Business Information Systems,Information Technology,Customer Service</t>
  </si>
  <si>
    <t>https://app.vainu.io/vainu/prospect/176979/</t>
  </si>
  <si>
    <t>Office365 email, Linkedin Analytics / Advertisement Pixel, Hubspot Forms, Flash, SSL/TLS, Amazon CloudFront, Mysql, Hubspot Analytics, PHP, Html5, Linkedin, Website, TLS problem, Font awesome, Oracle marketing cloud, Netmonitor, Hubspot CMS, Hubspot, Facebook, Site Kit, Jquery, Vimeo, Microsoft exchange, Outlook, Site Kit 1.39, Lightbox, Yoast SEO, Youtube Embed, Gravatar, Javascript, Tab Icon, Linkedin Insight Tag, Amazon web services, Underscore.js 1.13, Vidyard, TLS v1.2, Google font api, Linkedin Data Partner, jQuery Migrate, Google maps, Atlassian Domain Verification, Wordpress, Google tag manager, _("Responsive"), Nginx, Hubspot Ads Pixel, Twitter, HubSpot CMS Hub, Cloudflare, Underscore.js, Form Html Element, Modernizr, Google analytics, Facebook Like Button Plugin, Facebook Share Button Plugin, Yoast SEO 16.9, GoToWebinar, Openresty, Global Site Tag</t>
  </si>
  <si>
    <t>Kiho Oy</t>
  </si>
  <si>
    <t>3148075-6</t>
  </si>
  <si>
    <t>Itkonniemenkatu 21</t>
  </si>
  <si>
    <t>www.kiho.fi</t>
  </si>
  <si>
    <t>Management Information Systems,Software,Enterprise Software,SaaS,Commercial,Information Technology,B2B</t>
  </si>
  <si>
    <t>https://app.vainu.io/vainu/prospect/2177142697/</t>
  </si>
  <si>
    <t>Salesforce Live Agent, Finnish, Mysql, PHP, Linkedin, Website, Swedish, Youtube, Oxygen, lodash, Facebook, Yoast SEO 16.0, Salesforce, Jquery, ReDoc, Youtube Embed, Yoast SEO, Gravatar, Recaptcha, Javascript, WP Engine, Tab Icon, jsDelivr, Visa, Google font api, Google tag manager, Atlassian Domain Verification, Wordpress, Salesforce marketing cloud, React, Nginx, Contact Form 7 Wordpress Plugin, _("Responsive"), Salesforce Web To Lead, Twitter, Pardot, Form Html Element, Google analytics, Instagram, Blog, Gmail, Yoast SEO 17.2, English</t>
  </si>
  <si>
    <t>Klaro Technology Oy</t>
  </si>
  <si>
    <t>2994695-9</t>
  </si>
  <si>
    <t>Kaisaniemenkatu 4 A</t>
  </si>
  <si>
    <t>https://www.klarocpq.fi/</t>
  </si>
  <si>
    <t>Software,SaaS,Small and Medium Businesses,Commercial,Business Information Systems,CRM,Information Technology,Sales,Sales Automation,B2B</t>
  </si>
  <si>
    <t>https://app.vainu.io/vainu/prospect/1622046939/</t>
  </si>
  <si>
    <t>Active Campaign, Linkedin Analytics / Advertisement Pixel, Finnish, Flash video, Hubspot Forms, Flash, TLS v1.0, SSL/TLS, Mysql, Google Site Verification, TLS v1.1, PHP, Yoast SEO 14.8, Linkedin, Website, Youtube, Calendly, Hubspot, Facebook, Vimeo, Jquery, WordPress 5.5, Yoast SEO, Youtube Embed, Gravatar, Recaptcha, Javascript, Tab Icon, Linkedin Insight Tag, Amazon web services, TLS v1.2, Google font api, Linkedin Data Partner, Google tag manager, Gravity Forms, WordPress 5, Wordpress, Underscore.js 1.8, _("Responsive"), Nginx, Slack, Underscore.js, Form Html Element, Google analytics, Gmail, Leadfeeder, Custobar, SendinBlue, Openresty, English</t>
  </si>
  <si>
    <t>Koho Sales Oy</t>
  </si>
  <si>
    <t>2606352-8</t>
  </si>
  <si>
    <t>Vanha Talvitie 11 C</t>
  </si>
  <si>
    <t>www.kohosales.com</t>
  </si>
  <si>
    <t>Enterprise Resource Planning (ERP),Management Information Systems,Software,SaaS,Small and Medium Businesses,Business Information Systems,CRM,Information Technology,Project Management</t>
  </si>
  <si>
    <t>https://app.vainu.io/vainu/prospect/558973/</t>
  </si>
  <si>
    <t>Slick, Cookiebot, Office365 email, Google adwords, Litespeed, Finnish, Hubspot Forms, SSL/TLS, Mysql, Hubspot Analytics, Google Site Verification, PHP, Html5, Linkedin, Website, Font awesome, Youtube, Freshdesk, Hubspot CMS, Bootstrap 4.7, Hubspot, Facebook, English, Microsoft exchange, Jquery, Outlook, Yoast SEO, Youtube Embed, Gravatar, Javascript, Hubspot Leadflows, Tab Icon, Hubspot Meetings Plugin, Yoast SEO 16.1, TLS v1.2, jsDelivr, Google font api, Hubspot Marketing Hub, Google tag manager, Google maps, Wordpress, _("Responsive"), Office 365, Slack, MailJet, Hubspot Ads Pixel, Twitter, HubSpot CMS Hub, Dropbox, Bootstrap, Cloudflare, Litespeed Cache, Form Html Element, Hubspot Live Chat, Hubspot Sales, Instagram, Facebook pixel, GoToWebinar, Global Site Tag</t>
  </si>
  <si>
    <t>Kommeet Oy</t>
  </si>
  <si>
    <t>2621784-9</t>
  </si>
  <si>
    <t>Mäkelininkatu 20-22 B 1</t>
  </si>
  <si>
    <t>www.smilee.io</t>
  </si>
  <si>
    <t>Mobile,Software,SaaS,E-Commerce,Commercial,Information Technology,Messaging,Automotive,Internet,B2C,Artificial Intelligence,Customer Service,B2B</t>
  </si>
  <si>
    <t>https://app.vainu.io/vainu/prospect/694783/</t>
  </si>
  <si>
    <t>American Express, MaxMind, Site Kit 1.41, Hubspot Forms, TLS v1.0, Finnish, Vkontakte, SSL/TLS, Mysql, Hubspot Analytics, TLS v1.1, PHP, Html5, Linkedin, Website, Swedish, Youtube, Tumblr, Smilee Chat, German, Hubspot CMS, Hubspot, Facebook, Site Kit, Jquery, Vimeo, Elementor, Yoast SEO, Youtube Embed, Google Plus, Gravatar, Javascript, WP Engine, Tab Icon, Hubspot Meetings Plugin, _("Online_Store"), TLS v1.2, Visa, Google font api, MasterCard, Google tag manager, Gravity Forms, Wordpress, _("Responsive"), Nginx, Hotjar, Hubspot Ads Pixel, Twitter, Form Html Element, Yoast SEO 17.1, Hubspot Sales, Instagram, Cookie Consent By Insites, Whatsapp Website Icon, Gmail, GoToWebinar, Yoast SEO 17.2, English</t>
  </si>
  <si>
    <t>Kotopro Oy</t>
  </si>
  <si>
    <t>2307122-3</t>
  </si>
  <si>
    <t>Jaakonkatu 2</t>
  </si>
  <si>
    <t>www.kotopro.fi</t>
  </si>
  <si>
    <t>Mobile,Software,Enterprise Software,Education,SaaS,Commercial,Health Care,Document Management,B2B</t>
  </si>
  <si>
    <t>https://app.vainu.io/vainu/prospect/680948/</t>
  </si>
  <si>
    <t>Vkontakte, Mysql, Adobe Typekit, PHP, Mailchimp, Html5, Linkedin, Website, jQuery 1.12, Youtube, Tumblr, Facebook, LianaMailer, Vimeo, Jquery, Instafeed, Elementor, Google Plus, Youtube Embed, Javascript, Tab Icon, Google font api, jQuery Migrate, Gravity Forms, WordPress 5, Wordpress, _("Responsive"), Nginx, Office 365, Slack, Form Html Element, Swiper Slider, Whatsapp Website Icon, Elementor 2.9</t>
  </si>
  <si>
    <t>Kuveno Oy</t>
  </si>
  <si>
    <t>2825813-4</t>
  </si>
  <si>
    <t>Köydenpunojankatu 2 A</t>
  </si>
  <si>
    <t>www.kuveno.com</t>
  </si>
  <si>
    <t>Accounting,Information Services,Software,Enterprise Software,Computer,Real Time,Financial Services,Enterprise,Small and Medium Businesses,SaaS,Personalization,Business Information Systems,Service Industry,Information Technology,Collaboration,Document Management,Internet,B2B</t>
  </si>
  <si>
    <t>https://app.vainu.io/vainu/prospect/452971769/</t>
  </si>
  <si>
    <t>American Express, Nginx 1.15, Finnish, Hubspot Forms, Pinterest, SSL/TLS, Mysql, Crisp Chat, Google Site Verification, Stripe, Node.js, Force.com, PHP, Mailchimp, Linkedin, Yoast SEO 9.5, Website, Swedish, Youtube, Facebook, Vimeo, Jquery, MailChimp 4.8, Youtube Embed, Yoast SEO, Google Plus, Javascript, Tab Icon, Stripe Online Payments, TLS v1.2, Monsterinsights, Google font api, MasterCard, jQuery Migrate, WordPress 5, Wordpress, _("Responsive"), Nginx, DataTables, Twitter, Form Html Element, WordPress 5.0, Google analytics, Facebook pixel, Express, Gmail, Sendgrid, Angularjs</t>
  </si>
  <si>
    <t>LeadDesk Oyj</t>
  </si>
  <si>
    <t>2299022-8</t>
  </si>
  <si>
    <t>Hämeentie 19</t>
  </si>
  <si>
    <t>www.leaddesk.com</t>
  </si>
  <si>
    <t>Management Information Systems,Software,Contact Management,SaaS,Business Information Systems,CRM,Information Technology,Cloud Data Services,Sales,Customer Service</t>
  </si>
  <si>
    <t>https://app.vainu.io/vainu/prospect/13531383/</t>
  </si>
  <si>
    <t>Spanish, Office365 email, Finnish, French, TLS v1.0, Pinterest, SSL/TLS, Zgs, Mysql, Hubspot Analytics, Google Site Verification, Stripe, TLS v1.1, PHP, Edialog24, Html5, Linkedin, Website, Swedish, Font awesome, Youtube, German, Hubspot, Facebook, English, Vimeo, Jquery, Dutch, Microsoft exchange, Outlook, Zendesk Chat, Lightbox, Youtube Embed, Gravatar, Javascript, Tab Icon, Jquery ui, WP Engine, Linkedin Insight Tag, Amazon web services, _("Online_Store"), TLS v1.2, Stripe Online Payments, Google font api, Linkedin Data Partner, jQuery Migrate, Google tag manager, Gravity Forms, Wordpress, _("Responsive"), Nginx, WooCommerce 5.4, jQuery UI 1.12, Danish, Twitter, Norwegian, UNPKG, Divi, Zurb foundation, Cloudflare, Bootstrap, Form Html Element, Gravity Forms 2.5, Google analytics, Instagram, Divi 3.0, Facebook Share Button Plugin, Woocommerce, Brightcove, Apache, Intercom, Angularjs, Zendesk</t>
  </si>
  <si>
    <t>Leadoo Marketing Technologies Oy</t>
  </si>
  <si>
    <t>2922046-1</t>
  </si>
  <si>
    <t>Lintulahdenkuja 10</t>
  </si>
  <si>
    <t>https://leadoo.com/</t>
  </si>
  <si>
    <t>Advertising,Marketing,Software,Lead Generation,SaaS,Commercial,Lead Management,Marketing Automation,B2C,Sales,Sales Automation,B2B</t>
  </si>
  <si>
    <t>https://app.vainu.io/vainu/prospect/1134810483/</t>
  </si>
  <si>
    <t>Viber Public Chat, Finnish, TLS v1.0, Pinterest, Vkontakte, SSL/TLS, Amazon CloudFront, Mysql, Viber Share Button, TLS v1.1, PHP, Html5, Linkedin, Website, Swedish, Tumblr, lodash, Facebook, Prism, Vimeo, Jquery, Elementor, Youtube Embed, Google Plus, Gravatar, Recaptcha, Javascript, Tab Icon, Amazon web services, AmazonS, TLS v1.2, Google font api, Liveinternet, jQuery Migrate, Google maps, Google tag manager, Wordpress, _("Responsive"), Contact Form 7 Wordpress Plugin, Adnxs, Leadoo, Twitter, Bootstrap, Cloudflare, Form Html Element, Instagram, Facebook Share Button Plugin, Swiper Slider, Whatsapp Website Icon, Gmail, Flickity, Sendgrid, English</t>
  </si>
  <si>
    <t>Liferay Nordic Oy</t>
  </si>
  <si>
    <t>2911120-6</t>
  </si>
  <si>
    <t>Hiilikatu 3</t>
  </si>
  <si>
    <t>www.liferay.com</t>
  </si>
  <si>
    <t>Mobile,Management Information Systems,Software,Enterprise Software,SaaS,Enterprise,Enterprise Applications,Analytics,Information Technology,Collaboration,Open Source,Consumer Software,API</t>
  </si>
  <si>
    <t>https://app.vainu.io/vainu/prospect/1197827854/</t>
  </si>
  <si>
    <t>Portuguese, Spanish, Facebook Domain Verification, Flash video, TLS v1.0, French, SSL/TLS, Google Site Verification, TLS v1.1, Linkedin, Website, Youtube, MailerLite, Google Cloud, Intranet, German, Facebook, Cision, English, Salesforce, Jquery, Youtube Embed, Javascript, TLS v1.2, Google font api, Liferay, Google tag manager, Atlassian Domain Verification, Salesforce marketing cloud, _("Responsive"), Office 365, Italian, Twitter, Wistia, Amazon SES, Pardot, Bootstrap, Cloudflare, Zurb foundation, Form Html Element, Dynatrace, Jobvite, Chinese, Japanese, Zendesk</t>
  </si>
  <si>
    <t>Zh, De, Fr, Pt, Es, It, En, Ja</t>
  </si>
  <si>
    <t>Liidio Oy</t>
  </si>
  <si>
    <t>2457101-9</t>
  </si>
  <si>
    <t>Mikonkatu 17 C</t>
  </si>
  <si>
    <t>www.leadfeeder.com</t>
  </si>
  <si>
    <t>Marketing,Software,Lead Generation,SEO,SaaS,Enterprise,Small and Medium Businesses,Commercial,Lead Management,Service Industry,Information Technology,Marketing Automation,Internet,B2C,Digital Marketing,Sales Automation,B2B</t>
  </si>
  <si>
    <t>https://app.vainu.io/vainu/prospect/535985/</t>
  </si>
  <si>
    <t>Active Campaign, Contentful, American Express, MaxMind, TLS v1.0, SSL/TLS, Amazon CloudFront, Google Site Verification, TLS v1.1, PHP, Html5, Linkedin, Website, Youtube, Hubspot CMS, Hubspot, Facebook, Google Optimize, Bloomreach Insights, Jquery, Google Plus, Gravatar, Javascript, Tab Icon, Amazon web services, AmazonS, TLS v1.2, Google font api, MasterCard, Google tag manager, Xhtml, React, Nginx, Office 365, Slack, _("Responsive"), Castle Accont Takeout Prevention, New relic, Twitter, Amazon SES, Intercom Articles, Zurb foundation, Form Html Element, Google analytics, Instagram, Braintree Payments, Cookie Consent By Insites, Blog, Gmail, Intercom, Global Site Tag</t>
  </si>
  <si>
    <t>Linkity Oy</t>
  </si>
  <si>
    <t>2419107-5</t>
  </si>
  <si>
    <t>PL 287</t>
  </si>
  <si>
    <t>www.linkity.net</t>
  </si>
  <si>
    <t>Enterprise Resource Planning (ERP),Management Information Systems,Software,SaaS,Enterprise,Human Resources,Business Information Systems,Information Technology,Productivity Tools,Virtual Workforce,Office Administration</t>
  </si>
  <si>
    <t>https://app.vainu.io/vainu/prospect/530530/</t>
  </si>
  <si>
    <t>W3 Total Cache 2.1, Hubspot Forms, SSL/TLS, Mysql, Hubspot Analytics, Google Site Verification, Openssl, Google play, PHP, Html5, Linkedin, Apache 2.4, Website, Youtube, Hubspot, Facebook, Vimeo, Jquery, Yoast SEO, Youtube Embed, Javascript, Hubspot Leadflows, Amazon web services, TLS v1.2, Google font api, jQuery Migrate, Google tag manager, WordPress 5, Wordpress, _("Responsive"), Contact Form 7 Wordpress Plugin, Slack, Hotjar, Hubspot Ads Pixel, Twitter, Form Html Element, Yoast SEO 17.1, W3 total cache, Instagram, OpenSSL 1.1, Gmail, Apache</t>
  </si>
  <si>
    <t>Logentia Oy</t>
  </si>
  <si>
    <t>2310003-9</t>
  </si>
  <si>
    <t>Fredrikinkatu 42</t>
  </si>
  <si>
    <t>www.logentia.com</t>
  </si>
  <si>
    <t>Software,SaaS,Information Technology,Logistics,Supply Chain Management,Transportation,B2B</t>
  </si>
  <si>
    <t>https://app.vainu.io/vainu/prospect/216044/</t>
  </si>
  <si>
    <t>Flash video, Flash, SSL/TLS, Mysql, PHP, Linkedin, Website, Vimeo, Jquery, Flickr, Youtube Embed, Javascript, Nginx 1.18, Amazon web services, TLS v1.2, Google font api, jQuery Migrate, Google tag manager, WordPress 5, Wordpress, Gravity Forms, _("Responsive"), Nginx, Slack, New relic, Amazon SES, Divi, Form Html Element, Google analytics, Gmail, Apache, Divi 3.22, Ubuntu, Gravity Forms 2.1</t>
  </si>
  <si>
    <t>Loginets Oy</t>
  </si>
  <si>
    <t>1783095-9</t>
  </si>
  <si>
    <t>Läkkisepäntie 17</t>
  </si>
  <si>
    <t>www.loginets.com</t>
  </si>
  <si>
    <t>Management Information Systems,Construction,Software,Computer,SaaS,Business Information Systems,Facility Management,Information Technology,Consumer Software</t>
  </si>
  <si>
    <t>https://app.vainu.io/vainu/prospect/476623/</t>
  </si>
  <si>
    <t>Active Campaign, Pinterest, Mysql, Highcharts, Google Site Verification, Tidio Live Chat, Google play, PHP, Linkedin, Apache 2.4, Website, Font awesome, Youtube, Material Design Lite, Facebook, ActiveCampaign, Jquery, Flickr, Youtube Embed, Yoast SEO, Gravatar, Recaptcha, Javascript, Tab Icon, WooCommerce 5.6, _("Online_Store"), Google font api, jQuery Migrate, Google maps, Apple App Store, Wordpress, WordPress 5, Google tag manager, Tidio Chat, Contact Form 7 Wordpress Plugin, Slack, _("Responsive"), Hotjar, Jquery mobile, Twitter, Form Html Element, Debian, Yoast SEO 17.0, Google analytics, Facebook pixel, Woocommerce, Apache, Checkout finland, Leadfeeder</t>
  </si>
  <si>
    <t>Loyalistic Oy</t>
  </si>
  <si>
    <t>1050694-5</t>
  </si>
  <si>
    <t>Laippatie 3</t>
  </si>
  <si>
    <t>https://loyalistic.com</t>
  </si>
  <si>
    <t>Advertising,Marketing,Software,Lead Generation,SaaS,Small and Medium Businesses,Content Marketing,CRM,Lead Management,Email Marketing,B2C,Digital Marketing,Sales,Marketing Automation,B2B</t>
  </si>
  <si>
    <t>https://app.vainu.io/vainu/prospect/217327/</t>
  </si>
  <si>
    <t>Google Sign-in, Finnish, Facebook Domain Verification, SSL/TLS, Google Site Verification, Html5, Linkedin, Website, Font awesome, Facebook, Jquery, Tab Icon, Javascript, Recaptcha, GrooveHQ, TLS v1.2, Google font api, Google tag manager, _("Responsive"), Nginx, Slack, Twitter, Bootstrap, Form Html Element, Google analytics, Facebook pixel, Blog, Gmail, Sendgrid, English</t>
  </si>
  <si>
    <t>Lumoame Oy</t>
  </si>
  <si>
    <t>2791797-8</t>
  </si>
  <si>
    <t>Hermannin rantatie 8</t>
  </si>
  <si>
    <t>http://lumoa.me</t>
  </si>
  <si>
    <t>Customer Experience,Software,Enterprise Software,Real Time,SaaS,Commercial,Machine Learning,Customer Engagement,Analytics,Text Analytics,Information Technology,Semantic Web,Artificial Intelligence,Customer Service,B2B</t>
  </si>
  <si>
    <t>https://app.vainu.io/vainu/prospect/112865338/</t>
  </si>
  <si>
    <t>Slick, Office365 email, Litespeed, W3 Total Cache 2.1, GeneratePress 3.0, Hubspot Forms, TLS v1.0, SSL/TLS, Microsoft azure, Mysql, Slick 1.8, WordPress 5.8, Google Site Verification, TLS v1.1, PHP, Linkedin, Website, Aurelia, Youtube, Intranet, Hubspot, lodash, Facebook, Microsoft exchange, Jquery, Outlook, Yoast SEO, Youtube Embed, Gravatar, Javascript, Tab Icon, Hubspot Meetings Plugin, Azure Edge, TLS v1.2, Google font api, jQuery Migrate, Getsitecontrol Chat, WordPress 5, Wordpress, Google tag manager, _("Responsive"), Contact Form 7 Wordpress Plugin, Apple Pay, Castle Accont Takeout Prevention, Twitter, Wistia, GeneratePress, Form Html Element, Yoast SEO 17.1, Hubspot Sales, W3 total cache, Blog, Hubspot Email</t>
  </si>
  <si>
    <t>Lyyti Oy</t>
  </si>
  <si>
    <t>2117752-6</t>
  </si>
  <si>
    <t>Yliopistonkatu 29 B</t>
  </si>
  <si>
    <t>www.lyyti.com/fi/</t>
  </si>
  <si>
    <t>Event Promotion,Software,Event Management,SaaS,Events</t>
  </si>
  <si>
    <t>https://app.vainu.io/vainu/prospect/219085/</t>
  </si>
  <si>
    <t>Google adwords, American Express, Finnish, Discover, Hubspot Forms, Linkedin Analytics / Advertisement Pixel, French, Amazon CloudFront, Paytrail, Adobe Typekit, Google Site Verification, Google play, PHP, Addthis, Linkedin, Fastly, Mobilepay, Website, Swedish, Intranet, Hubspot CMS, Hubspot, Facebook, English, Vimeo, Jquery, Typekit, Dutch, Linkedin Sign-in, Atlassian Statuspage, Recaptcha, Javascript, Tab Icon, Linkedin Insight Tag, Amazon web services, Vidyard, _("Online_Store"), Google font api, Linkedin Data Partner, Hubspot Marketing Hub, Google tag manager, React, _("Responsive"), MailJet, Zendesk, Twitter, HubSpot CMS Hub, Cloudflare, Form Html Element, Google analytics, Instagram, Facebook Share Button Plugin, Facebook pixel, Blog, Hubspot Email, Gmail, Intercom, GoToWebinar, Global Site Tag</t>
  </si>
  <si>
    <t>Fi, Sv, En, Nl, Fr</t>
  </si>
  <si>
    <t>M-Files Oy</t>
  </si>
  <si>
    <t>0686200-7</t>
  </si>
  <si>
    <t>Hermiankatu 1</t>
  </si>
  <si>
    <t>https://www.m-files.com/fi</t>
  </si>
  <si>
    <t>Management Information Systems,Software,Enterprise Software,Contact Management,SaaS,Enterprise,Operating Systems,Business Information Systems,Information Technology,Productivity Tools,Document Management,Consumer Software</t>
  </si>
  <si>
    <t>https://app.vainu.io/vainu/prospect/229694/</t>
  </si>
  <si>
    <t>Slick, Google adwords, Finnish, Mysql, Appinsights, Youtube, Underscore.js 1.8, Microsoft IIS 10.0, Microsoft IIS, Twitter, Microsoft IIS 8.5, Form Html Element, Uberflip, English, Pinterest, Microsoft azure, TLS v1.1, PHP, Html5, Moment.js, Swedish, Intranet, German, Facebook, Microsoft exchange, Outlook, TLS v1.2, Drift Chat, Docusign, Linkedin Data Partner, Adobe Sign, jQuery Migrate, Xhtml, Wp rocket, _("Responsive"), Slack, Cloudflare, Underscore.js, LogMeIn, Extranet, Cxense, Sendgrid, Microsoft ASP.NET 4.0, Global Site Tag, Marketo, Office365 email, Google Site Verification, Divi 4.9, Salesforce, Box, WP Engine, _("Online_Store"), Salesforce Lightning Platform, Google font api, Google tag manager, WordPress 5, Wordpress, Wistia, Instagram, Facebook Share Button Plugin, WooCommerce 5.5, Microsoft asp.net, Active Campaign, Clipboard.js, Linkedin Analytics / Advertisement Pixel, French, TLS v1.0, Flash, SSL/TLS, Linkedin, Website, Jquery, Tab Icon, Javascript, Linkedin Insight Tag, Divi, Google analytics, Woocommerce</t>
  </si>
  <si>
    <t>De, Fi, Sv, En, Fr</t>
  </si>
  <si>
    <t>Manu Online Oy</t>
  </si>
  <si>
    <t>1014859-4</t>
  </si>
  <si>
    <t>VEIKKOINTIE 4</t>
  </si>
  <si>
    <t>NUMMELA</t>
  </si>
  <si>
    <t>www.manu.fi</t>
  </si>
  <si>
    <t>Accounting,Enterprise Resource Planning (ERP),SaaS</t>
  </si>
  <si>
    <t>https://app.vainu.io/vainu/prospect/223909/</t>
  </si>
  <si>
    <t>Website, Messagelabs.com, Rackspace.com, Yammer, TLS v1.2, TLS v1.0, SSL/TLS, Box, Mailgun, TLS v1.1, Mailchimp, Zendesk</t>
  </si>
  <si>
    <t>Mapita Oy</t>
  </si>
  <si>
    <t>2399273-5</t>
  </si>
  <si>
    <t>Fredrikinkatu 55 A 2</t>
  </si>
  <si>
    <t>http://maptionnaire.com</t>
  </si>
  <si>
    <t>Management Information Systems,Online Forums,Software,Enterprise Software,Real Time,SaaS,Commercial,Data Visualization,Analytics,Social,Information Technology,GovTech,GIS,Location Based Services,Smart Cities,Crowdsourcing,Geospatial,B2B</t>
  </si>
  <si>
    <t>https://app.vainu.io/vainu/prospect/723757/</t>
  </si>
  <si>
    <t>Backbone.js, Pure css, Linkedin Analytics / Advertisement Pixel, MaxMind, TLS v1.0, Pinterest, SSL/TLS, Adobe Typekit, Google Site Verification, TLS v1.1, PHP, Html5, Linkedin, Moment.js, Website, Font awesome, Squarespace, Facebook, Afterpay, Vimeo, Jquery, Nginx 1.10, AMP, Youtube Embed, Javascript, Tab Icon, Linkedin Insight Tag, Amazon web services, Bootstrap 3.3, Leaflet, TLS v1.2, Google font api, Linkedin Data Partner, Google tag manager, Google maps, Xhtml, _("Responsive"), Nginx, Slack, Osano, Twitter, Embed.Ly, Django, Underscore.js, Modernizr, Form Html Element, Bootstrap, Google analytics, Instagram, Cookie Consent By Insites, Facebook pixel, Gmail, Leadfeeder, Ubuntu, Python</t>
  </si>
  <si>
    <t>Maplet Oy</t>
  </si>
  <si>
    <t>2478082-2</t>
  </si>
  <si>
    <t>Littoistentie 114</t>
  </si>
  <si>
    <t>PIIKKIÖ</t>
  </si>
  <si>
    <t>www.maplet.fi</t>
  </si>
  <si>
    <t>Mobile,Mobile Apps,Software,Enterprise Software,Direct Sales,SaaS,Commercial,Information Technology,Mapping Services,B2B,Sales,Location Based Services</t>
  </si>
  <si>
    <t>https://app.vainu.io/vainu/prospect/539263/</t>
  </si>
  <si>
    <t>Yoast SEO 12.9, Flash video, TLS v1.0, Flash, SSL/TLS, Pinterest, Mysql, TLS v1.1, PHP, Html5, Linkedin, Apache 2.4, Website, Font awesome, Facebook, Vimeo, Jquery, Youtube Embed, Yoast SEO, Google Plus, Javascript, Tab Icon, Amazon web services, TLS v1.2, Google font api, jQuery Migrate, Google tag manager, WordPress 5, Wordpress, _("Responsive"), Contact Form 7 Wordpress Plugin, Twitter, Modernizr, Form Html Element, Debian, Facebook Share Button Plugin, Apache, Intercom</t>
  </si>
  <si>
    <t>Mastercom Oy</t>
  </si>
  <si>
    <t>1862344-1</t>
  </si>
  <si>
    <t>Enterprise Resource Planning (ERP),Mobile,Management Information Systems,Mobile Apps,Software,Enterprise Software,Real Time,SaaS,Enterprise,Commercial,Operating Systems,Facility Management,Information Technology,Productivity Tools,Internet of Things,Consumer Software,B2B</t>
  </si>
  <si>
    <t>https://app.vainu.io/vainu/prospect/225190/</t>
  </si>
  <si>
    <t>Salesforce Live Agent, Finnish, Mysql, PHP, Linkedin, Website, Swedish, Youtube, Oxygen, lodash, Facebook, Yoast SEO 16.0, Salesforce, Jquery, ReDoc, Youtube Embed, Yoast SEO, Gravatar, Recaptcha, Javascript, WP Engine, Tab Icon, jsDelivr, Visa, Google font api, Google tag manager, Atlassian Domain Verification, Wordpress, Salesforce marketing cloud, React, Nginx, Contact Form 7 Wordpress Plugin, _("Responsive"), Salesforce Web To Lead, Pardot, Form Html Element, Google analytics, Instagram, Blog, Gmail, English</t>
  </si>
  <si>
    <t>Meeshkan Oy</t>
  </si>
  <si>
    <t>2864679-4</t>
  </si>
  <si>
    <t>https://meeshkan.com</t>
  </si>
  <si>
    <t>Product Management,Artificial Intelligence,Developer APIs,Application Performance Management,Software,Enterprise Software,Mobile Apps,SaaS,Developer Tools,API,Machine Learning,Information Technology,Quality Assurance,Productivity Tools,Developer Platform</t>
  </si>
  <si>
    <t>https://app.vainu.io/vainu/prospect/699983050/</t>
  </si>
  <si>
    <t>TLS v1.0, SSL/TLS, Google Site Verification, Netlify, Next.js, Node.js, TLS v1.1, Html5, Linkedin, Gatsby 3.9, Website, Gatsby, Youtube, Facebook, Vercel, Vimeo, Mixpanel Analytics, Youtube Embed, Javascript, Tab Icon, Webpack, Stripe Online Payments, TLS v1.2, Google font api, Google tag manager, React, _("Responsive"), Slack, Hotjar, Twitter, Form Html Element, Google analytics, Gmail, Intercom</t>
  </si>
  <si>
    <t>Meetin.gs Oy</t>
  </si>
  <si>
    <t>2433246-4</t>
  </si>
  <si>
    <t>PL 955</t>
  </si>
  <si>
    <t>http://www.meetin.gs</t>
  </si>
  <si>
    <t>Software,Contact Management,SaaS,Video Chat,Meeting Software,Information Technology,Collaboration,Productivity Tools,Internet,Virtual Workforce,Scheduling</t>
  </si>
  <si>
    <t>https://app.vainu.io/vainu/prospect/532449/</t>
  </si>
  <si>
    <t>Backbone.js, Facebook Domain Verification, Flash, Vkontakte, SSL/TLS, Mysql, Swfobject, Adobe Typekit, Stripe, PHP, Mailchimp, Linkedin, Website, Tumblr, Gravity Forms, Facebook, Vimeo, Jquery, Typekit, Revslider, Flickr, Yoast SEO, Youtube Embed, Google Plus, Gravatar, Javascript, Tab Icon, Amazon web services, _("Online_Store"), TLS v1.2, Stripe Online Payments, WordPress 5.7, jQuery Migrate, TinyMCE, OptiMonk, Wordpress, Xhtml, WordPress 5, Nginx, Google tag manager, _("Responsive"), Scribd, Mailgun, Twitter, Bootstrap, Underscore.js, Form Html Element, Facebook pixel, Facebook Share Button Plugin, Yoast SEO 16.4, Blog, Gmail, Booking Widget (All)</t>
  </si>
  <si>
    <t>Fi, Sv, En, Nl</t>
  </si>
  <si>
    <t>Meliora Oy</t>
  </si>
  <si>
    <t>2485366-5</t>
  </si>
  <si>
    <t>Lyseonkatu 4</t>
  </si>
  <si>
    <t>www.melioratestlab.com</t>
  </si>
  <si>
    <t>Application Performance Management,Management Information Systems,Software,Enterprise Software,SaaS,Test and Measurement,Information Technology,Quality Assurance,Consumer Software</t>
  </si>
  <si>
    <t>https://app.vainu.io/vainu/prospect/540461/</t>
  </si>
  <si>
    <t>TLS v1.0, SSL/TLS, Mysql, Google Site Verification, TLS v1.1, PHP, Linkedin, Website, Youtube, Vimeo, Jquery, Youtube Embed, Yoast SEO, Gravatar, Javascript, Tab Icon, TLS v1.2, jQuery Migrate, Google maps, Gravity Forms, Wordpress, Yoast SEO 14.0, _("Responsive"), Twitter, Tawk.To Chat, Form Html Element, Google analytics, Gmail, Apache, English</t>
  </si>
  <si>
    <t>Mfabrik Oy</t>
  </si>
  <si>
    <t>1821266-9</t>
  </si>
  <si>
    <t>Airotie 10 A</t>
  </si>
  <si>
    <t>www.mfabrik.com</t>
  </si>
  <si>
    <t>NFC,Mobile Apps,Software,Web Development,Digital Signage,SaaS,RFID,Information Technology,Web Apps,Augmented Reality,Internet of Things,Events,Messaging</t>
  </si>
  <si>
    <t>https://app.vainu.io/vainu/prospect/229675/</t>
  </si>
  <si>
    <t>Slick, Office365 email, Flash, SSL/TLS, Pinterest, Mysql, Paytrail, PHP, Mailchimp, Linkedin, Apache 2.4, Yoast SEO 12.3, Website, Font awesome, animate.css, Facebook, Vimeo, Jquery, Revslider, Microsoft exchange, Outlook, Flickr, Lightbox, Youtube Embed, Yoast SEO, Gravatar, Javascript, Tab Icon, Jquery ui, Clicky, Revslider 5.4, TLS v1.2, Google font api, jQuery Migrate, Google tag manager, WordPress 5, Wordpress, _("Responsive"), Contact Form 7 Wordpress Plugin, Office 365, Pipedrive, Slack, Twitter, Wistia, Bootstrap, Tawk.To Chat, Form Html Element, Debian, Google analytics, Facebook Share Button Plugin, Apache, Global Site Tag</t>
  </si>
  <si>
    <t>Midaxo Oy</t>
  </si>
  <si>
    <t>2374477-4</t>
  </si>
  <si>
    <t>Kumpulantie 3</t>
  </si>
  <si>
    <t>www.midaxo.com</t>
  </si>
  <si>
    <t>Management Information Systems,Software,Enterprise Software,Financial Services,SaaS,Contract Management,Enterprise,Due Diligence,Business Information Systems,Analytics,Information Technology,Cloud Computing,B2B</t>
  </si>
  <si>
    <t>https://app.vainu.io/vainu/prospect/524233/</t>
  </si>
  <si>
    <t>Disqus, Office365 email, Google adwords, Hubspot Rss Feed, Linkedin Analytics / Advertisement Pixel, Flash video, Hubspot Forms, Amazon CloudFront, Google Site Verification, PHP, Html5, Addthis, Linkedin, Website, Font awesome, Hubspot CMS, Hubspot, Facebook, Workable, Jquery, Microsoft exchange, AMP, Outlook, Zendesk Chat, Linkedin Sign-in, Javascript, Tab Icon, Amazon web services, Salesforce Lightning Platform, Drift Chat, Google font api, Hubspot Marketing Hub, Google tag manager, Xhtml, Wordpress, Atlassian Domain Verification, React, Nginx, _("Responsive"), Hotjar, Zendesk, Engagio, DataTables, Twitter, Wistia, HubSpot CMS Hub, Bootstrap, Cloudflare, GoToWebinar, Form Html Element, Modernizr, Bootstrap 4.6, Google analytics, Instagram, Facebook Like Button Plugin, Facebook pixel, Blog, Spot.Im / Disgus, Inspectlet, Global Site Tag</t>
  </si>
  <si>
    <t>Millisecond Oy</t>
  </si>
  <si>
    <t>2726240-6</t>
  </si>
  <si>
    <t>Pihatörmä 1 A 336</t>
  </si>
  <si>
    <t>www.millisecond.fi</t>
  </si>
  <si>
    <t>Business Intelligence,Software,Enterprise Software,SaaS,Commercial,Data Visualization,Analytics,Information Technology,Internet of Things,Cloud Management,Information Services,Big Data,B2B</t>
  </si>
  <si>
    <t>https://app.vainu.io/vainu/prospect/14111905/</t>
  </si>
  <si>
    <t>Office365 email, American Express, Nginx 1.15, Microsoft azure, Mysql, Force.com, Site Kit 1.31, PHP, Linkedin, Website, Facebook, Site Kit, Jquery, Vimeo, Microsoft exchange, Outlook, Elementor, Yoast SEO, Javascript, Tab Icon, Yoast SEO 16.1, Visa, Google font api, MasterCard, Google tag manager, WordPress 5, Wordpress, _("Responsive"), Nginx, Office 365, Wp rocket, Twitter, Form Html Element, Leadfeeder</t>
  </si>
  <si>
    <t>Miradore Oy</t>
  </si>
  <si>
    <t>2036660-8</t>
  </si>
  <si>
    <t>Laserkatu 6</t>
  </si>
  <si>
    <t>LAPPEENRANTA</t>
  </si>
  <si>
    <t>www.miradore.com</t>
  </si>
  <si>
    <t>Application Performance Management,Mobile,Management Information Systems,Software,iOS,Computer,SaaS,Enterprise,Enterprise Applications,Operating Systems,Apps,Information Technology,Cloud Data Services,Mobile Devices,Consumer Software</t>
  </si>
  <si>
    <t>https://app.vainu.io/vainu/prospect/231111/</t>
  </si>
  <si>
    <t>Spanish, Microsoft asp.net, Office365 email, section.io, American Express, Facebook Domain Verification, Hubspot Forms, TLS v1.0, Flash, SSL/TLS, Mysql, Paytrail, Google Site Verification, TLS v1.1, Mailchimp, Teamtailor, PHP, Html5, Linkedin, Website, German, Hubspot CMS, Hubspot, Facebook, English, Microsoft exchange, Jquery, Varnish, Outlook, Ruby, Youtube Embed, Javascript, Recaptcha, Tab Icon, WP Engine, TLS v1.2, Visa, Google font api, MasterCard, Google tag manager, Gravity Forms, Wordpress, Rackcache, _("Responsive"), Nginx, Office 365, Microsoft IIS 10.0, Microsoft IIS, Hotjar, Ahrefs SEO tools, Twitter, Form Html Element, Google analytics, Facebook Share Button Plugin, Hubspot Email, Heroku, GoToWebinar, Microsoft ASP.NET 4.0, Zendesk</t>
  </si>
  <si>
    <t>En, Es, De</t>
  </si>
  <si>
    <t>MobileCV Oy</t>
  </si>
  <si>
    <t>2360086-9</t>
  </si>
  <si>
    <t>Firdonkatu 2</t>
  </si>
  <si>
    <t>www.recright.com</t>
  </si>
  <si>
    <t>Recruiting,Software,SaaS,Video,Human Resources,Staffing Agency,Social Recruiting,Internet,Virtual Workforce</t>
  </si>
  <si>
    <t>https://app.vainu.io/vainu/prospect/232053/</t>
  </si>
  <si>
    <t>Prismic.Io, MaxMind, Finnish, Amazon CloudFront, Adobe Typekit, Smartrecruiters, Youtube, Bootstrap 4.5, Mixpanel Analytics, AmazonS, Twitter, Zurb foundation, Form Html Element, Whatsapp Website Icon, English, Hubspot Rss Feed, TLS v1.1, PHP, Swedish, Intranet, Hubspot CMS, Facebook, Drift Chat, Linkedin Data Partner, _("Responsive"), Slack, Russian, Cloudflare, Cookie Consent By Insites, Blog, OWL Carousel, Google Site Verification, Braintree, Addthis, Font awesome, Hubspot, Salesforce, AMP, Linkedin Sign-in, Zendesk Chat, Google Plus, Youtube Embed, Google font api, Hubspot Marketing Hub, Recright Ats, Google tag manager, Popper, Osano, Amazon SES, Bootstrap, Instagram, Facebook Share Button Plugin, Leadforensics, Linkedin Analytics / Advertisement Pixel, Facebook Domain Verification, Hubspot Forms, TLS v1.0, Flash, SSL/TLS, Glassdoor Job Search, Mailchimp, Linkedin, Website, Twitter Ads, Jquery, Tab Icon, Javascript, Linkedin Insight Tag, Amazon web services, Nginx, MailJet, Italian, HubSpot CMS Hub, Google analytics, Facebook Like Button Plugin, Gmail, Popper 1.16, GoToWebinar, Zendesk</t>
  </si>
  <si>
    <t>Moodrik Oy</t>
  </si>
  <si>
    <t>2737053-8</t>
  </si>
  <si>
    <t>Mäntykangas 5</t>
  </si>
  <si>
    <t>KOKKOLA</t>
  </si>
  <si>
    <t>www.cloqqa.fi</t>
  </si>
  <si>
    <t>Software,Event Management,SaaS</t>
  </si>
  <si>
    <t>https://app.vainu.io/vainu/prospect/2762525/</t>
  </si>
  <si>
    <t>Slick, OWL Carousel, Linkedin Analytics / Advertisement Pixel, Finnish, TLS v1.0, SSL/TLS, Mysql, TLS v1.1, Mailchimp, PHP, Website, animate.css, Facebook, Vimeo, Jquery, Youtube Embed, Yoast SEO, Gravatar, Javascript, Tab Icon, Linkedin Insight Tag, _("Online_Store"), TLS v1.2, Drift Chat, jsDelivr, Linkedin Data Partner, WordPress 5.7, jQuery Migrate, Google tag manager, WordPress 5, Wordpress, _("Responsive"), Nginx, Twitter, Bootstrap, Form Html Element, Extranet, Yoast SEO 17.1, Google analytics, Instagram, Facebook pixel, Blog, Gmail, English</t>
  </si>
  <si>
    <t>Moor Oy</t>
  </si>
  <si>
    <t>1733557-9</t>
  </si>
  <si>
    <t>Mäkelänkatu 52 A</t>
  </si>
  <si>
    <t>http://moor.fi/en/home/</t>
  </si>
  <si>
    <t>Software,Real Estate,SaaS,Service Industry,Information Technology,Internet,Customer Service</t>
  </si>
  <si>
    <t>https://app.vainu.io/vainu/prospect/232608/</t>
  </si>
  <si>
    <t>Office365 email, Wordpress 4, Linkedin Analytics / Advertisement Pixel, TLS v1.0, Flash, SSL/TLS, Microsoft azure, Mysql, Google Site Verification, Force.com, TLS v1.1, PHP, Html5, Linkedin, Website, Yoast SEO 5.7, Facebook, Google Optimize, Vimeo, Jquery, Microsoft exchange, Outlook, Flickr, Youtube Embed, Yoast SEO, Google Plus, Javascript, Tab Icon, Wordpress 4.8, Linkedin Insight Tag, TLS v1.2, Monsterinsights, Google font api, Linkedin Data Partner, jQuery Migrate, Google tag manager, Wordpress, _("Responsive"), Office 365, Divi, Form Html Element, Google analytics, Divi 3.0, Apache</t>
  </si>
  <si>
    <t>Naveo Commerce Oy</t>
  </si>
  <si>
    <t>2304473-5</t>
  </si>
  <si>
    <t>http://www.digitalgoodie.com/</t>
  </si>
  <si>
    <t>Product Search,Software,SaaS,E-Commerce,E-Commerce Platforms,Grocery,B2B,B2C,Internet,Retail</t>
  </si>
  <si>
    <t>https://app.vainu.io/vainu/prospect/685/</t>
  </si>
  <si>
    <t>Wordpress 4.9, Wordpress 4, Flash video, Flash, SSL/TLS, Mysql, Adobe Typekit, Google Site Verification, PHP, Linkedin, Website, jQuery 1.12, Youtube, Facebook, Vimeo, Jquery, Youtube Embed, Javascript, Tab Icon, nginx 1.6, TLS v1.2, jQuery Migrate, Google maps, Google tag manager, Wordpress, _("Responsive"), Nginx, Twitter, Dropbox, Instagram, Blog, Gmail, Leadfeeder, Global Site Tag</t>
  </si>
  <si>
    <t>Neomeet Oy</t>
  </si>
  <si>
    <t>3129101-5</t>
  </si>
  <si>
    <t>Ankkuritie 1</t>
  </si>
  <si>
    <t>neomeet.fi</t>
  </si>
  <si>
    <t>Software,Enterprise Software,Real Time,Contact Management,SaaS,Video Conferencing,Enterprise,Meeting Software,Video Chat,Information Technology,Collaboration,Internet,Virtual Workforce,B2B</t>
  </si>
  <si>
    <t>https://app.vainu.io/vainu/prospect/2147433649/</t>
  </si>
  <si>
    <t>Slick, Finnish, Hubspot Forms, TLS v1.0, Vkontakte, SSL/TLS, Mysql, Hubspot Analytics, Select2, Neomeet, TLS v1.1, PHP, Html5, Linkedin, Website, Font awesome, Tumblr, Hubspot CMS, Hubspot, Facebook, Vimeo, Jquery, Elementor, Yoast SEO, Youtube Embed, Google Plus, Gravatar, Javascript, Tab Icon, Jquery ui, Hubspot Meetings Plugin, Yoast SEO 16.1, TLS v1.2, Segment, Google font api, jsDelivr, Google tag manager, WordPress 5, Wordpress, _("Responsive"), Nginx, Contact Form 7 Wordpress Plugin, jQuery UI 1.12, Elementor 3.2, Adnxs, Bootstrap, GSAP, Form Html Element, Modernizr, Hubspot Live Chat, Sanoma Tracking Pixel, Hubspot Sales, Facebook Share Button Plugin, Swiper Slider, Whatsapp Website Icon, Alpine.js, Gmail, GoToWebinar, English</t>
  </si>
  <si>
    <t>Nepton Oy</t>
  </si>
  <si>
    <t>1620679-1</t>
  </si>
  <si>
    <t>Tarvonsalmenkatu 15</t>
  </si>
  <si>
    <t>www.nepton.fi</t>
  </si>
  <si>
    <t>https://app.vainu.io/vainu/prospect/236989/</t>
  </si>
  <si>
    <t>Google Shopping, Pure css, Office365 email, Google adwords, SlideShare, Active Campaign, TLS v1.0, SSL/TLS, Microsoft azure, Mysql, Google Site Verification, TLS v1.1, PHP, Html5, Linkedin, Website, Youtube, Facebook, Google remarketing, Vimeo, ActiveCampaign, Jquery, Microsoft exchange, Outlook, Yoast SEO, Youtube Embed, Gravatar, Recaptcha, Javascript, WP Engine, Tab Icon, Doubleclick, TLS v1.2, Segment, Google font api, Google tag manager, Google maps, Wordpress, _("Responsive"), Nginx, Contact Form 7 Wordpress Plugin, Office 365, MailJet, Google Conversion, Wp rocket, Adnxs, Leadoo, Zendesk, Twitter, Form Html Element, Yoast SEO 17.0, Sanoma Tracking Pixel, Facebook pixel, Facebook Share Button Plugin, Leadfeeder, English</t>
  </si>
  <si>
    <t>Noventia Oy</t>
  </si>
  <si>
    <t>2105415-5</t>
  </si>
  <si>
    <t>Ilmalantori 1</t>
  </si>
  <si>
    <t>noventia.fi</t>
  </si>
  <si>
    <t>Management Information Systems,Software,SaaS,Contract Management,E-Commerce,Procurement,Small and Medium Businesses,Business Information Systems,Information Technology,Internet,Auctions,B2B</t>
  </si>
  <si>
    <t>https://app.vainu.io/vainu/prospect/240806/</t>
  </si>
  <si>
    <t>Finnish, Mysql, Google Site Verification, PHP, Addthis, Linkedin, Website, Facebook, Vimeo, Jquery, Flickr, Youtube Embed, Yoast SEO, Gravatar, Javascript, Tab Icon, Google font api, Plesk, jQuery Migrate, Wordpress, _("Responsive"), Nginx, Contact Form 7 Wordpress Plugin, Office 365, Slack, Bootstrap 7, Yoast SEO 16.6, Twitter, Bootstrap, Tawk.To Chat, Form Html Element, Google analytics, English</t>
  </si>
  <si>
    <t>On-Time Research Solutions Oy</t>
  </si>
  <si>
    <t>2562657-9</t>
  </si>
  <si>
    <t>Kivääritehtaankatu 6</t>
  </si>
  <si>
    <t>https://www.ontime.fi/</t>
  </si>
  <si>
    <t>Mobile,Software,SaaS,Market Research,Small and Medium Businesses,Information Technology,B2C,API,Customer Service,Telecommunications</t>
  </si>
  <si>
    <t>https://app.vainu.io/vainu/prospect/708051/</t>
  </si>
  <si>
    <t>Cookiebot, Active Campaign, Finnish, SSL/TLS, Mysql, Paytrail, Google Site Verification, PHP, Html5, Linkedin, Website, Mobilepay, Youtube, Calendly, Facebook, Vimeo, ActiveCampaign, Jquery, TalentAdore, Youtube Embed, Yoast SEO, Javascript, Tab Icon, Amazon web services, TLS v1.2, Google font api, Pipedrive Mailigen, Google tag manager, Gravity Forms, Wordpress, Elfsight, _("Responsive"), Nginx, Twitter, Form Html Element, Gravity Forms 2.5, Yoast SEO 17.1, Google analytics, Facebook Share Button Plugin, Gmail, Openresty, English</t>
  </si>
  <si>
    <t>OpusCapita Solutions Oy</t>
  </si>
  <si>
    <t>2846825-4</t>
  </si>
  <si>
    <t>Bertel Jungin Aukio 3 D</t>
  </si>
  <si>
    <t>https://www.opuscapita.com</t>
  </si>
  <si>
    <t>Management Information Systems,Software,SaaS,Contract Management,Enterprise,Procurement,Payments,Small and Medium Businesses,Information Technology,API,B2B</t>
  </si>
  <si>
    <t>https://app.vainu.io/vainu/prospect/663907628/</t>
  </si>
  <si>
    <t>Slick, Office365 email, Hubspot Forms, Flash, SSL/TLS, Slick 2019, Google Site Verification, PHP, Mailchimp, Html5, Linkedin, Website, Font awesome, Youtube, Hubspot CMS, animate.css, Hubspot, Facebook, Microsoft exchange, Jquery, Outlook, Lightbox, Youtube Embed, Jquery ui, Javascript, Tab Icon, Service Now, TLS v1.2, Google font api, Hubspot Marketing Hub, Google tag manager, _("Responsive"), Slack, Mailgun, Hotjar, Twitter, HubSpot CMS Hub, Bootstrap, Cloudflare, Form Html Element, Instagram, Facebook Share Button Plugin, Blog, Sendgrid, GoToWebinar, SuccessFactors</t>
  </si>
  <si>
    <t>Oy Communication Pro Ab</t>
  </si>
  <si>
    <t>0515154-5</t>
  </si>
  <si>
    <t>Särkiniementie 5 B 49, 4 krs.</t>
  </si>
  <si>
    <t>communicationpro.com</t>
  </si>
  <si>
    <t>Brand Marketing,Digital Media,CMS,Software,SaaS,Content Delivery Network,Web Hosting,Information Technology,Content,Internet</t>
  </si>
  <si>
    <t>https://app.vainu.io/vainu/prospect/249314/</t>
  </si>
  <si>
    <t>Backbone.js, Office365 email, American Express, OWL Carousel, Pinterest, SSL/TLS, Mysql, PHP, Html5, Linkedin, Website, Font awesome, Tumblr, Intranet, animate.css, Facebook, Vimeo, Jquery, Outlook, Yoast SEO, Youtube Embed, Javascript, Tab Icon, TLS v1.2, Visa, Google Pay, Google font api, MasterCard, jQuery Migrate, WordPress 5, Wordpress, Google maps, Google tag manager, Nginx, Yoast SEO 15.2, Contact Form 7 Wordpress Plugin, Office 365, Microsoft IIS, Apple Pay, Microsoft IIS 10.0, _("Responsive"), Twitter, Underscore.js, Form Html Element, Extranet, Instagram, Facebook Share Button Plugin, Whatsapp Website Icon</t>
  </si>
  <si>
    <t>Pagero Oy</t>
  </si>
  <si>
    <t>2360990-0</t>
  </si>
  <si>
    <t>Hevosenkenkä 3</t>
  </si>
  <si>
    <t>www.pagero.fi</t>
  </si>
  <si>
    <t>https://app.vainu.io/vainu/prospect/256146/</t>
  </si>
  <si>
    <t>Portuguese, Backbone.js, Spanish, Office365 email, American Express, Finnish, French, SSL/TLS, Mysql, Google Site Verification, Select2, TLS v1.1, PHP, Addthis, Linkedin, Website, Swedish, German, Facebook, Vimeo, Jquery, Microsoft exchange, Outlook, Flickr, Lightbox, Javascript, Tab Icon, _("Online_Store"), TLS v1.2, Visa, Google Pay, Google font api, MasterCard, jQuery Migrate, WordPress 5, Wordpress, Google tag manager, _("Responsive"), Wp rocket, Contact Form 7 Wordpress Plugin, Office 365, Optanon Cookie Consent, Apple Pay, Danish, Italian, Twitter, Norwegian, OneTrust, Bootstrap, Underscore.js, Modernizr, Form Html Element, Google analytics, Ukrainian, Apache, Choices</t>
  </si>
  <si>
    <t>De, Da, No, Fi, Pt, Es, It, Sv, En, Fr</t>
  </si>
  <si>
    <t>Palette Software Oy</t>
  </si>
  <si>
    <t>2586417-1</t>
  </si>
  <si>
    <t>Keilaranta 16 B</t>
  </si>
  <si>
    <t>https://palettesoftware.com/fi</t>
  </si>
  <si>
    <t>Accounting,Management Information Systems,Software,Computer,SaaS,Financial Services,Business Information Systems,Information Technology,Billing,Consumer Software</t>
  </si>
  <si>
    <t>https://app.vainu.io/vainu/prospect/256580/</t>
  </si>
  <si>
    <t>Office365 email, Finnish, TLS v1.0, Flash, NitroPack, SSL/TLS, Mysql, Google Site Verification, TLS v1.1, Act-on, PHP, Linkedin, Website, Youtube, Facebook, Vimeo, Jquery, Microsoft exchange, Outlook, Youtube Embed, Yoast SEO, Moove Cookie Consent, Recaptcha, Javascript, Tab Icon, Underscore.js 1.13, Doubleclick, TLS v1.2, jQuery Migrate, Google maps, Google tag manager, Wordpress, Gravity Forms, _("Responsive"), Nginx, Twitter, Dropbox, Underscore.js, Tawk.To Chat, Form Html Element, Yoast SEO 17.1, English</t>
  </si>
  <si>
    <t>Pandia Oy</t>
  </si>
  <si>
    <t>3125395-9</t>
  </si>
  <si>
    <t>pandia.fi</t>
  </si>
  <si>
    <t>Software,Enterprise Software,Real Estate,SaaS,Commercial,Analytics,Information Technology,Property Management</t>
  </si>
  <si>
    <t>https://app.vainu.io/vainu/prospect/2169153103/</t>
  </si>
  <si>
    <t>Office365 email, Flash video, Flash, SSL/TLS, Mysql, WordPress 5.8, Adobe Typekit, Google Site Verification, PHP, Mailchimp, Html5, Addthis, Linkedin, Website, Intranet, Facebook, Vimeo, Jquery, Typekit, Microsoft exchange, Outlook, Yoast SEO, Youtube Embed, Gravatar, Recaptcha, Javascript, Tab Icon, Amazon web services, TLS v1.2, Segment, Google font api, jQuery Migrate, Google tag manager, WordPress 5, Wordpress, _("Responsive"), Nginx, Contact Form 7 Wordpress Plugin, Wp rocket, Hotjar, Adnxs, Twitter, Amazon SES, Form Html Element, Yoast SEO 17.1, Sanoma Tracking Pixel, Google analytics, Leadfeeder, Global Site Tag</t>
  </si>
  <si>
    <t>Fi</t>
  </si>
  <si>
    <t>Pilvi Cloud Company Oy</t>
  </si>
  <si>
    <t>2586766-3</t>
  </si>
  <si>
    <t>Upseerinkatu 1</t>
  </si>
  <si>
    <t>www.pilvi.com</t>
  </si>
  <si>
    <t>Software,Enterprise Software,SaaS,E-Commerce,Small and Medium Businesses,CRM,Information Technology,Cloud Data Services,Marketing Automation,B2C,Sales,Sales Automation,B2B</t>
  </si>
  <si>
    <t>https://app.vainu.io/vainu/prospect/555524/</t>
  </si>
  <si>
    <t>Backbone.js, Litespeed, American Express, TLS v1.0, Vkontakte, SSL/TLS, Mysql, Paytrail, Google Site Verification, TLS v1.1, Marked, PHP, Html5, Linkedin, Website, Font awesome, animate.css, lodash, Facebook, Vimeo, Jquery, Lightbox, Yoast SEO, Youtube Embed, Gravatar, Javascript, Tab Icon, Amazon web services, TLS v1.2, Google font api, MasterCard, jQuery Migrate, WordPress 5, Wordpress, Google tag manager, Requirejs, _("Responsive"), Contact Form 7 Wordpress Plugin, Twitter, Bootstrap, Underscore.js, Modernizr, Litespeed Cache, Form Html Element, Yoast SEO 17.1, Bootstrap 4.6, Google analytics, Instagram, WordPress 5.2, Blog, Gmail, Apache, PilviServer, Choices</t>
  </si>
  <si>
    <t>Pilvia Oy</t>
  </si>
  <si>
    <t>2701673-1</t>
  </si>
  <si>
    <t>Kerttulinkatu 20</t>
  </si>
  <si>
    <t>www.pilvia.com</t>
  </si>
  <si>
    <t>Web Browsers,Web Development,Software,SaaS,Web Design,Developer Tools,Web Hosting,Blogging Platforms,Information Technology,Internet,MySQL,Customer Service</t>
  </si>
  <si>
    <t>https://app.vainu.io/vainu/prospect/1610614/</t>
  </si>
  <si>
    <t>Active Campaign, Finnish, Facebook Domain Verification, TLS v1.0, SSL/TLS, Ghost 4.7, Mysql, Emaileri, WordPress 5.8, Go, Divi 4.9, Stripe, Google Site Verification, Node.js, TLS v1.1, PHP, Html5, Linkedin, Website, Youtube, Facebook, Vimeo, Jquery, AMP, Flickr, Youtube Embed, Gravatar, Javascript, Tab Icon, Stripe Online Payments, TLS v1.2, Google font api, jQuery Migrate, WordPress 5, Wordpress, _("Responsive"), MailJet, Caddy, Google Firebase, Twitter, UNPKG, Divi, Cloudflare, Form Html Element, Google analytics, Instagram, Express, Blog, Hubspot Email, Gmail, Ghost, Intercom, English</t>
  </si>
  <si>
    <t>PipeCloud Oy</t>
  </si>
  <si>
    <t>2856930-3</t>
  </si>
  <si>
    <t>Konsantie 31</t>
  </si>
  <si>
    <t>RAISIO</t>
  </si>
  <si>
    <t>www.pipecloud.fi</t>
  </si>
  <si>
    <t>Information Technology,Software,Manufacturing,SaaS</t>
  </si>
  <si>
    <t>https://app.vainu.io/vainu/prospect/669048929/</t>
  </si>
  <si>
    <t>Backbone.js, Office365 email, TLS v1.0, SSL/TLS, Mysql, Site Kit 1.40, Openssl, TLS v1.1, PHP, Linkedin, Apache 2.4, Website, Font awesome, Youtube, Site Kit, Jquery, Microsoft exchange, Outlook, Elementor, Youtube Embed, Yoast SEO, Gravatar, Javascript, Tab Icon, Amazon web services, Underscore.js 1.13, TLS v1.2, Unix, Google tag manager, Google maps, WordPress 5, Wordpress, jQuery Migrate, _("Responsive"), Office 365, Slack, Underscore.js, Form Html Element, Yoast SEO 17.1, Google analytics, OpenSSL 1.1, Booking Widget (All), Apache</t>
  </si>
  <si>
    <t>Piwoot Oy</t>
  </si>
  <si>
    <t>2876676-1</t>
  </si>
  <si>
    <t>Äyritie 12 C</t>
  </si>
  <si>
    <t>www.piwoot.com</t>
  </si>
  <si>
    <t>Management Information Systems,Software,SaaS,Enterprise,Business Information Systems,Information Technology,Productivity Tools,Project Management</t>
  </si>
  <si>
    <t>https://app.vainu.io/vainu/prospect/786283617/</t>
  </si>
  <si>
    <t>TLS v1.0, SSL/TLS, Amazon CloudFront, Adobe Typekit, TLS v1.1, Linkedin, Website, Jquery, Javascript, Tab Icon, Recaptcha, Amazon web services, AmazonS, TLS v1.2, Google font api, Google tag manager, _("Responsive"), Nginx, Webflow, Form Html Element, Google analytics, Gmail, Leadfeeder</t>
  </si>
  <si>
    <t>Plan Brothers Oy</t>
  </si>
  <si>
    <t>2900763-6</t>
  </si>
  <si>
    <t>planbrothers.io</t>
  </si>
  <si>
    <t>Management Information Systems,Software,Enterprise Software,Real Time,SaaS,Enterprise,Security,Information Technology</t>
  </si>
  <si>
    <t>https://app.vainu.io/vainu/prospect/1128405022/</t>
  </si>
  <si>
    <t>Active Campaign, MaxMind, Finnish, Hubspot Forms, SSL/TLS, Adobe Typekit, Google Site Verification, Mailchimp, Linkedin, Website, Font awesome, Intranet, Hubspot CMS, Hubspot, Facebook, Vimeo, Jquery, Breton, Varnish, AMP, Javascript, Tab Icon, TLS v1.2, Google font api, Hubspot Marketing Hub, Google tag manager, _("Responsive"), Nginx, Slack, Webflow, Castle Accont Takeout Prevention, Osano, Twitter, HubSpot CMS Hub, Embed.Ly, Cloudflare, Form Html Element, Google analytics, Instagram, Cookie Consent By Insites, Blog, Hubspot Email, Gmail, Intercom, Heroku, GoToWebinar, Openresty, English</t>
  </si>
  <si>
    <t>Da, Fi, Pt, Es, Sv, En</t>
  </si>
  <si>
    <t>PlanMill Oy</t>
  </si>
  <si>
    <t>2062705-4</t>
  </si>
  <si>
    <t>www.planmill.com</t>
  </si>
  <si>
    <t>Management Information Systems,Software,SaaS,Small and Medium Businesses,Business Information Systems,CRM,Information Technology,Project Management</t>
  </si>
  <si>
    <t>https://app.vainu.io/vainu/prospect/107430/</t>
  </si>
  <si>
    <t>American Express, Flash, SSL/TLS, Mysql, Netlify, Hogan.js, Force.com, PHP, Html5, Linkedin, Moment.js, Website, Youtube, Facebook, Hogan.js 3.0, Vimeo, Jquery, Revslider, Dankort, Yoast SEO, Youtube Embed, Gravatar, Recaptcha, Javascript, Tab Icon, Algolia, Revslider 5.4, TLS v1.2, Monsterinsights, Visa, Google font api, Snoobi, Mermaid, Segment, jsDelivr, MasterCard, jQuery Migrate, WordPress 5, Wordpress, Google tag manager, Google maps, _("Responsive"), Contact Form 7 Wordpress Plugin, Slack, Twitter, Materialize CSS, Form Html Element, Yoast SEO 17.1, Google analytics, Facebook Like Button Plugin, Gmail, Apache, Leadfeeder</t>
  </si>
  <si>
    <t>Powered by Yonoton Oy</t>
  </si>
  <si>
    <t>2732822-5</t>
  </si>
  <si>
    <t>www.yonoton.com</t>
  </si>
  <si>
    <t>Management Information Systems,Real Time,UX Design,Payments,Apps,Ticketing,Information Technology,Consumer Applications,Big Data,Franchise,Product Search,Mobile,Mobile Payments,Enterprise,Commercial,Operating Systems,Sports,B2C,B2B,Marketing,Loyalty Programs,SaaS,E-Commerce,Service Industry,Infrastructure,API,Media and Entertainment,Software,Analytics,Social,Point of Sale,Hospitality,Consumer</t>
  </si>
  <si>
    <t>https://app.vainu.io/vainu/prospect/2763539/</t>
  </si>
  <si>
    <t>TLS v1.0, SSL/TLS, Google Site Verification, Netlify, Google play, Linkedin, Website, Mobilepay, Gatsby, Youtube, Facebook, Vimeo, Elementor, Javascript, Tab Icon, Webpack, TLS v1.2, MasterCard, Google tag manager, Wordpress, React, _("Responsive"), Slack, DatoCMS, Twitter, Amazon SES, Form Html Element, Gmail, Gatsby 3.0, Zendesk</t>
  </si>
  <si>
    <t>PrivacyAnt Oy</t>
  </si>
  <si>
    <t>2734312-6</t>
  </si>
  <si>
    <t>Franzéninkatu 21 A 9</t>
  </si>
  <si>
    <t>www.privacyant.com</t>
  </si>
  <si>
    <t>Software,SaaS,Data Protection,Commercial,Compliance,Security,Privacy,Cyber Security,GDPR,Information Technology,Legal Tech,Data Security,B2B</t>
  </si>
  <si>
    <t>https://app.vainu.io/vainu/prospect/96369334/</t>
  </si>
  <si>
    <t>TLS v1.0, SSL/TLS, Google Site Verification, TLS v1.1, Html5, Linkedin, Website, Jquery, Jquery ui, Javascript, Tab Icon, Bootstrap 4.4, TLS v1.2, Wordpress, _("Responsive"), Nginx, Office 365, Twitter, ProtonMail, Django, Bootstrap, Form Html Element, Python</t>
  </si>
  <si>
    <t>PromoRepublic Oy</t>
  </si>
  <si>
    <t>2703642-5</t>
  </si>
  <si>
    <t>promorepublic.com</t>
  </si>
  <si>
    <t>Reputation,Advertising,Linkedin,Social Media Marketing,Commercial,Facebook,B2C,B2B,Marketing,Local Advertising,SaaS,Social Media,Social CRM,Marketing Automation,Twitter,Software,Content Marketing,Social Media Advertising,Social Media Management,Email Marketing,Digital Marketing</t>
  </si>
  <si>
    <t>https://app.vainu.io/vainu/prospect/1617380/</t>
  </si>
  <si>
    <t>WordPress 5.1, Disqus, Google adwords, Linkedin Analytics / Advertisement Pixel, Facebook Domain Verification, Pinterest, Vkontakte, NitroPack, Mysql, SSL/TLS, Tapfiliate, Google Site Verification, Sap Customer Data Cloud / Gigya, Flurry / Yahoo Analytics, PHP, Addthis, Linkedin, Website, Font awesome, Youtube, Calendly, Hubspot, Facebook, Google remarketing, Vimeo, Jquery, Mixpanel Analytics, AMP, Yoast SEO, Youtube Embed, Google Plus, Recaptcha, Gravatar, Javascript, Tab Icon, Linkedin Insight Tag, Yoast SEO 11.0, Doubleclick, TLS v1.2, Google font api, Linkedin Data Partner, jQuery Migrate, Google tag manager, Xhtml, Wordpress, WordPress 5, Atlassian Domain Verification, Nginx, Contact Form 7 Wordpress Plugin, _("Responsive"), Google Conversion, Hotjar, Castle Accont Takeout Prevention, Twitter, Nginx 1.14, SendPulse, Cloudflare, Unbounce, Form Html Element, Bootstrap, Google analytics, Instagram, Facebook pixel, Gmail, Intercom, Ubuntu</t>
  </si>
  <si>
    <t>Qbrick OY</t>
  </si>
  <si>
    <t>2283369-5</t>
  </si>
  <si>
    <t>Äyritie 8 B</t>
  </si>
  <si>
    <t>www.qbrick.com</t>
  </si>
  <si>
    <t>Software,Real Time,SaaS,Content Delivery Network,Content Discovery,Video on Demand,Video Advertising,Visual Search,Video,Video Chat,DRM,Video Streaming,Content,B2C,Content Creators,Video Editing</t>
  </si>
  <si>
    <t>https://app.vainu.io/vainu/prospect/107426/</t>
  </si>
  <si>
    <t>Cookiebot, Microsoft asp.net, Office365 email, Litespeed, Viber Public Chat, Flash video, Hubspot Forms, Flash, Vkontakte, SSL/TLS, TLS v1.0, Mysql, Highcharts, WordPress 5.8, Hubspot Analytics, Google Site Verification, Viber Share Button, Force.com, TLS v1.1, Mailchimp, Upsales Crm, PHP, Html5, Linkedin, Website, Font awesome, Tumblr, Intranet, Hubspot, Facebook, Vimeo, Jquery, Microsoft exchange, Outlook, Elementor, Zendesk Chat, Google Plus, Yoast SEO, Gravatar, Tab Icon, Youtube Embed, Javascript, _("Online_Store"), Monsterinsights, Google font api, Google tag manager, Google maps, Apple App Store, Wordpress, particles.js, jQuery Migrate, BidTheatre, Office 365, _("Responsive"), Microsoft IIS 10.0, Microsoft IIS, WordPress 5, Twitter, Qbrick, Cloudflare, Modernizr, Form Html Element, Extranet, Hubspot Live Chat, Google analytics, Instagram, Swiper Slider, Facebook Share Button Plugin, Facebook pixel, Whatsapp Website Icon, Blog, Apache, Yoast SEO 17.2, Zendesk</t>
  </si>
  <si>
    <t>Da, No, Fi, Sv, En</t>
  </si>
  <si>
    <t>QualityDesk Oy</t>
  </si>
  <si>
    <t>2808647-5</t>
  </si>
  <si>
    <t>Rautatienkatu 21 B</t>
  </si>
  <si>
    <t>www.qualitydesk.fi</t>
  </si>
  <si>
    <t>Software,Enterprise Software,SaaS,Consulting,Information Technology,Quality Assurance,Call Center,Training,Customer Service</t>
  </si>
  <si>
    <t>https://app.vainu.io/vainu/prospect/306098394/</t>
  </si>
  <si>
    <t>Office365 email, Active Campaign, Finnish, Hubspot Forms, SSL/TLS, Mysql, Hubspot Analytics, Google Site Verification, Select2, Google play, PHP, Site Kit 1.37, Linkedin, Website, Swedish, Font awesome, Youtube, Hubspot, Facebook, Uikit, Site Kit, Jquery, Vimeo, Microsoft exchange, Outlook, Elementor, Yoast SEO, Javascript, Recaptcha, Tab Icon, Amazon web services, _("Online_Store"), TLS v1.2, Google font api, Plesk, jQuery Migrate, Google tag manager, Wordpress, _("Responsive"), Nginx, Contact Form 7 Wordpress Plugin, Yoast SEO 16.7, Wp rocket, Leadoo, Hubspot Ads Pixel, Twitter, Form Html Element, Google analytics, Cookie Consent By Insites, Woocommerce, Spot.Im / Disgus, Leadfeeder, WooCommerce 5.5, English</t>
  </si>
  <si>
    <t>Fi, Sv, En, Es</t>
  </si>
  <si>
    <t>Quentic Finland Oy</t>
  </si>
  <si>
    <t>2634249-8</t>
  </si>
  <si>
    <t>Eerikinkatu 28</t>
  </si>
  <si>
    <t>www.quentic.fi</t>
  </si>
  <si>
    <t>Software,Enterprise Software,SaaS,Compliance,Energy Management,Information Technology,Sustainability,Document Management,Risk Management</t>
  </si>
  <si>
    <t>https://app.vainu.io/vainu/prospect/686957/</t>
  </si>
  <si>
    <t>Cookiebot, Flash video, TLS v1.0, Vkontakte, SSL/TLS, TLS v1.1, PHP, Html5, Linkedin, Typo3 cms, Website, Font awesome, Youtube, Tumblr, Bootstrap 4.7, Facebook, Jquery, Javascript, Tab Icon, TLS v1.2, Qzone, Google tag manager, _("Responsive"), Twitter, Wistia, Bootstrap, Olark, Form Html Element, Facebook Share Button Plugin, Whatsapp Website Icon, Apache</t>
  </si>
  <si>
    <t>Quinyx Finland Oy</t>
  </si>
  <si>
    <t>2907364-1</t>
  </si>
  <si>
    <t>Bertel Jungin Aukio 1 E</t>
  </si>
  <si>
    <t>Artificial Intelligence,Management Information Systems,Software,Enterprise Software,Real Time,SaaS,Enterprise,Machine Learning,Information Technology,Productivity Tools,Virtual Workforce,Task Management,Scheduling</t>
  </si>
  <si>
    <t>https://app.vainu.io/vainu/prospect/1076355065/</t>
  </si>
  <si>
    <t>Google Shopping, Google adwords, section.io, Finnish, Linkedin Analytics / Advertisement Pixel, Hubspot Forms, TLS v1.0, SSL/TLS, Stimulus, Amazon CloudFront, Snowplow, Google play, Google Site Verification, TLS v1.1, Mailchimp, Teamtailor, PHP, Html5, Addthis, Linkedin, Website, Vue.js, Font awesome, Swedish, Youtube, Oracle marketing cloud, German, Hubspot CMS, Hubspot, Facebook, Google remarketing, Vimeo, Jquery, Salesforce, AMP, Ruby, Dutch, Varnish, Linkedin Sign-in, Youtube Embed, Ziggeo, Tab Icon, Javascript, Linkedin Insight Tag, Linkedin Jobs Plugin, Amazon web services, Vidyard, Doubleclick, TLS v1.2, Google font api, Linkedin Data Partner, Hubspot Marketing Hub, Google tag manager, Google maps, Salesforce Community, Rackcache, _("Responsive"), Office 365, Google Conversion, Danish, Twitter, Norwegian, HubSpot CMS Hub, Bootstrap, Cloudflare, Form Html Element, Google analytics, Instagram, Facebook Share Button Plugin, Facebook Like Button Plugin, Hubspot Email, Gmail, Heroku, GoToWebinar, Fontfaceobserver, English</t>
  </si>
  <si>
    <t>Fi, En, Da, De</t>
  </si>
  <si>
    <t>Qvalia Oy</t>
  </si>
  <si>
    <t>2127314-7</t>
  </si>
  <si>
    <t>Bulevardi 6 C 19</t>
  </si>
  <si>
    <t>www.qvalia.fi</t>
  </si>
  <si>
    <t>Accounting,Software,Enterprise Software,SaaS,Payments,Information Technology,Cloud Data Services,Billing</t>
  </si>
  <si>
    <t>https://app.vainu.io/vainu/prospect/271361/</t>
  </si>
  <si>
    <t>Office365 email, Finnish, Hubspot Forms, SSL/TLS, Mysql, PHP, Linkedin, Website, Microsoft exchange, Jquery, Outlook, Tab Icon, Javascript, Amazon web services, Hubspot Meetings Plugin, TLS v1.2, Google font api, jQuery Migrate, Google tag manager, Wordpress, _("Responsive"), Nginx, Norwegian, Form Html Element, Hubspot Sales, English</t>
  </si>
  <si>
    <t>Rapal Oy</t>
  </si>
  <si>
    <t>0833937-5</t>
  </si>
  <si>
    <t>www.rapal.fi</t>
  </si>
  <si>
    <t>Software,Enterprise Software,SaaS,Commercial,Data Visualization,Information Technology,Information Services,B2B</t>
  </si>
  <si>
    <t>https://app.vainu.io/vainu/prospect/275033/</t>
  </si>
  <si>
    <t>Office365 email, Hubspot Rss Feed, Hubspot Forms, SSL/TLS, Amazon CloudFront, Google Site Verification, Linkedin, Website, Oracle marketing cloud, Font awesome, Youtube, Hubspot CMS, Hubspot, Facebook, Bootstrap 4.5, Microsoft exchange, Jquery, AMP, Outlook, Linkedin Sign-in, Youtube Embed, Javascript, Tab Icon, Amazon web services, Vidyard, TLS v1.2, Google font api, Hubspot Marketing Hub, Google tag manager, Wordpress, _("Responsive"), Twitter, HubSpot CMS Hub, Bootstrap, Cloudflare, Zurb foundation, Form Html Element, Google analytics, Facebook Like Button Plugin, GoToWebinar, Global Site Tag</t>
  </si>
  <si>
    <t>React &amp; Share Oy</t>
  </si>
  <si>
    <t>2726694-1</t>
  </si>
  <si>
    <t>Teollisuuskatu 21</t>
  </si>
  <si>
    <t>reactandshare.com</t>
  </si>
  <si>
    <t>CMS,Software,SaaS,Content Discovery,Commercial,Social Media,Analytics,Semantic Web,Content,Productivity Tools,Crowdsourcing,Internet</t>
  </si>
  <si>
    <t>https://app.vainu.io/vainu/prospect/96399383/</t>
  </si>
  <si>
    <t>Hubspot Forms, TLS v1.0, SSL/TLS, Amazon CloudFront, Google Site Verification, TLS v1.1, Linkedin, Website, Font awesome, Youtube, Hubspot CMS, Bootstrap 4.7, Hubspot, Facebook, Jquery, AMP, Linkedin Sign-in, Youtube Embed, Javascript, Tab Icon, Amazon web services, TLS v1.2, Google font api, Google tag manager, Wordpress, _("Responsive"), Nginx, Pipedrive, Hotjar, Twitter, HubSpot CMS Hub, Bootstrap, Cloudflare, Form Html Element, Google analytics, Gmail, Sendgrid, Leadfeeder, Nginx 1.19, GoToWebinar, Zendesk</t>
  </si>
  <si>
    <t>Rentle Oy</t>
  </si>
  <si>
    <t>2634632-5</t>
  </si>
  <si>
    <t>PL 13100</t>
  </si>
  <si>
    <t>AALTO</t>
  </si>
  <si>
    <t>www.rentle.io</t>
  </si>
  <si>
    <t>Software,SaaS,Marketplace,UX Design,E-Commerce,Payments,Sharing Economy,Rental,Consumer Software,Internet</t>
  </si>
  <si>
    <t>https://app.vainu.io/vainu/prospect/686534/</t>
  </si>
  <si>
    <t>Slick, Cookiebot, Spanish, Facebook Domain Verification, Hubspot Forms, TLS v1.0, SSL/TLS, Amazon CloudFront, Google Site Verification, TLS v1.1, PHP, Recurly, Html5, Linkedin, Website, Mobilepay, Swedish, Youtube, Outbrain, Google Cloud, German, Hubspot CMS, Hubspot, Facebook, Jquery, AMP, Linkedin Sign-in, Youtube Embed, Javascript, Tab Icon, Amazon web services, TLS v1.2, Google font api, Hubspot Marketing Hub, Google tag manager, React, Nginx, _("Responsive"), Apple Pay, Google Firebase, Castle Accont Takeout Prevention, Twitter, Wistia, Intercom Articles, HubSpot CMS Hub, Cloudflare, Form Html Element, Google analytics, Instagram, Facebook Share Button Plugin, Global Site Tag, Blog, Gmail, Intercom, GoToWebinar, English</t>
  </si>
  <si>
    <t>Sv, En, Es, De</t>
  </si>
  <si>
    <t>Rescomms Oy</t>
  </si>
  <si>
    <t>2934987-1</t>
  </si>
  <si>
    <t>Pohjoiskaari 34-38</t>
  </si>
  <si>
    <t>www.rescomms.com</t>
  </si>
  <si>
    <t>Recruiting,Software,SaaS,Small and Medium Businesses,Commercial,Human Resources,Service Industry,Information Technology,Local,Internet,B2C,Customer Service,B2B</t>
  </si>
  <si>
    <t>https://app.vainu.io/vainu/prospect/1246652030/</t>
  </si>
  <si>
    <t>Active Campaign, TLS v1.0, SSL/TLS, Amazon CloudFront, Netlify, Google play, Website, Tab Icon, Javascript, Amazon web services, AmazonS, Google tag manager, _("Responsive"), Slack, DatoCMS, Google analytics, Gmail, Sendgrid, Leadfeeder, Global Site Tag</t>
  </si>
  <si>
    <t>Resimator Oy</t>
  </si>
  <si>
    <t>2913491-8</t>
  </si>
  <si>
    <t>Raatimiehenkatu 2 as. 13</t>
  </si>
  <si>
    <t>www.resimator.fi</t>
  </si>
  <si>
    <t>Management Information Systems,Software,Real Estate,SaaS,Facility Management,Information Technology,Property Management</t>
  </si>
  <si>
    <t>https://app.vainu.io/vainu/prospect/1073335209/</t>
  </si>
  <si>
    <t>Slick, Active Campaign, TLS v1.0, SSL/TLS, Smartyads, Paytrail, Adobe Typekit, Google Site Verification, TLS v1.1, Html5, Linkedin, Apache 2.4, Website, Calendly, Facebook, Jquery, Javascript, Recaptcha, Tab Icon, Amazon web services, iubenda, TLS v1.2, Google font api, Google tag manager, _("Responsive"), Slack, Bootstrap, Form Html Element, Google analytics, Gmail, Apache, Ubuntu, Global Site Tag</t>
  </si>
  <si>
    <t>Resonoi Software Oy</t>
  </si>
  <si>
    <t>2633088-4</t>
  </si>
  <si>
    <t>PL 42</t>
  </si>
  <si>
    <t>www.resonoi.fi</t>
  </si>
  <si>
    <t>Information Technology,Software,Enterprise Software,SaaS</t>
  </si>
  <si>
    <t>https://app.vainu.io/vainu/prospect/726904/</t>
  </si>
  <si>
    <t>Office365 email, American Express, Finnish, Hubspot Forms, SSL/TLS, Mysql, Hubspot Analytics, Google Site Verification, PHP, Website, Hubspot CMS, Hubspot, Facebook, Vimeo, Jquery, Revslider, Microsoft exchange, Outlook, Flickr, Lightbox, Youtube Embed, Gravatar, Javascript, Tab Icon, _("Online_Store"), TLS v1.2, Visa, Google Pay, Google font api, MasterCard, jQuery Migrate, WordPress 5, Wordpress, Google tag manager, Choices, _("Responsive"), Office 365, Apple Pay, Revslider 6.3, Hubspot Ads Pixel, Twitter, Bootstrap, Modernizr, Form Html Element, Google analytics, Blog, Apache, Revslider 6.4, GoToWebinar, Global Site Tag</t>
  </si>
  <si>
    <t>Fi, En, Es</t>
  </si>
  <si>
    <t>Retail Logistics Excellence - RELEX Oy</t>
  </si>
  <si>
    <t>1963444-1</t>
  </si>
  <si>
    <t>Postintaival 7</t>
  </si>
  <si>
    <t>relexsolutions.com/fi</t>
  </si>
  <si>
    <t>Product Search,Software,SaaS,Machine Learning,Information Technology,Retail Technology,Supply Chain Management,Artificial Intelligence,Retail</t>
  </si>
  <si>
    <t>https://app.vainu.io/vainu/prospect/278277/</t>
  </si>
  <si>
    <t>Spanish, Pagely-ARES, Office365 email, Taboola, Finnish, Linkedin Analytics / Advertisement Pixel, Flash video, Hubspot Forms, TLS v1.0, Bouncex, SSL/TLS, French, Mysql, Hubspot Analytics, Google Site Verification, Adobe Typekit, Thetradedesk / Adbrain, TLS v1.1, PHP, Html5, Linkedin, Website, Swedish, Outbrain, German, Hubspot CMS, Hubspot, Facebook, Microsoft exchange, Jquery, Instafeed, Outlook, Tab Icon, Javascript, Linkedin Insight Tag, Amazon web services, iubenda, Doubleclick, TLS v1.2, Google font api, Liadm, Pagely, Hubspot Marketing Hub, Google tag manager, jQuery Migrate, Atlassian Domain Verification, Wordpress, _("Responsive"), Office 365, Optanon Cookie Consent, Hotjar, Danish, Italian, Twitter, Norwegian, Amazon SES, HubSpot CMS Hub, Wistia, OneTrust, Smartsheet, Cloudflare, Form Html Element, Hubspot Live Chat, Google analytics, Instagram, Hubspot Email, Leadfeeder, GoToWebinar, Pagely-Ares 1.9, English</t>
  </si>
  <si>
    <t>Nb, De, Da, No, Fi, Es, It, Sv, En, Fr</t>
  </si>
  <si>
    <t>Rohea Beta Oy</t>
  </si>
  <si>
    <t>2192629-1</t>
  </si>
  <si>
    <t>Kaisaniemenkatu 6 B</t>
  </si>
  <si>
    <t>rohea.com</t>
  </si>
  <si>
    <t>Product Management,Software,Enterprise Software,SaaS,Small and Medium Businesses,CRM,Information Technology,Business Development,B2C,Sales,Sales Automation,B2B</t>
  </si>
  <si>
    <t>https://app.vainu.io/vainu/prospect/807627/</t>
  </si>
  <si>
    <t>Office365 email, TLS v1.0, SSL/TLS, Stimulus, Adobe Typekit, TLS v1.1, Website, Squarespace, Facebook, Afterpay, Vimeo, Microsoft exchange, Outlook, Javascript, Tab Icon, TLS v1.2, Xhtml, _("Responsive"), Office 365, Form Html Element, Google analytics, Blog</t>
  </si>
  <si>
    <t>Rohea Oy</t>
  </si>
  <si>
    <t>2087100-6</t>
  </si>
  <si>
    <t>Kaisaniemenkatu 6 A</t>
  </si>
  <si>
    <t>http://www.rohea.com</t>
  </si>
  <si>
    <t>https://app.vainu.io/vainu/prospect/279861/</t>
  </si>
  <si>
    <t>Office365 email, TLS v1.0, SSL/TLS, Stimulus, Adobe Typekit, TLS v1.1, Linkedin, Website, Squarespace, Facebook, Afterpay, Vimeo, Microsoft exchange, Outlook, Javascript, Tab Icon, TLS v1.2, Xhtml, _("Responsive"), Office 365, Form Html Element, Google analytics, Blog</t>
  </si>
  <si>
    <t>Rossum Oy</t>
  </si>
  <si>
    <t>0978238-7</t>
  </si>
  <si>
    <t>Kukonportti 11</t>
  </si>
  <si>
    <t>HOLLOLA</t>
  </si>
  <si>
    <t>www.rossum.fi</t>
  </si>
  <si>
    <t>Management Information Systems,Software,SaaS,Information Technology,Logistics,Consumer Software</t>
  </si>
  <si>
    <t>https://app.vainu.io/vainu/prospect/280207/</t>
  </si>
  <si>
    <t>Flash video, TLS v1.0, Flash, Vkontakte, SSL/TLS, Mysql, Google Site Verification, OceanWP, Force.com, TLS v1.1, Mailchimp, PHP, Html5, OceanWP 1.5, Linkedin, Website, Font awesome, Tumblr, Facebook, Vimeo, Jquery, Elementor, Lightbox, Yoast SEO, Youtube Embed, Google Plus, Recaptcha, Javascript, Tab Icon, TLS v1.2, Monsterinsights, Google font api, Elementor 3.3, jQuery Migrate, Google tag manager, WordPress 5, Wordpress, Gravity Forms, _("Responsive"), Office 365, Form Html Element, Google analytics, Swiper Slider, Whatsapp Website Icon, Yoast SEO 16.8, Gmail, Apache</t>
  </si>
  <si>
    <t>SDR Dynamics Oy</t>
  </si>
  <si>
    <t>2608375-6</t>
  </si>
  <si>
    <t>Valimotie 13 A</t>
  </si>
  <si>
    <t>www.kronometrix.com</t>
  </si>
  <si>
    <t>Software,Real Time,SaaS,Linux,Data Visualization,Operating Systems,Analytics,Information Technology,Infrastructure,Internet of Things,Smart Cities,Big Data,Industry 4.0,Data Center Automation</t>
  </si>
  <si>
    <t>https://app.vainu.io/vainu/prospect/694320/</t>
  </si>
  <si>
    <t>TLS v1.0, Pinterest, Vkontakte, SSL/TLS, Mysql, TLS v1.1, PHP, Linkedin, Website, Youtube, Tumblr, Facebook, Vimeo, Jquery, Youtube Embed, Yoast SEO, Google Plus, Javascript, Tab Icon, Amazon web services, Leaflet, _("Online_Store"), TLS v1.2, Google font api, jQuery Migrate, WordPress 5, Wordpress, _("Responsive"), Nginx, Contact Form 7 Wordpress Plugin, Slack, Twitter, UNPKG, Tawk.To Chat, Form Html Element, Modernizr, Yoast SEO 17.1, Facebook Share Button Plugin, wpBakery</t>
  </si>
  <si>
    <t>Saidot Oy</t>
  </si>
  <si>
    <t>2936264-6</t>
  </si>
  <si>
    <t>www.saidot.ai</t>
  </si>
  <si>
    <t>Artificial Intelligence,Software,SaaS,Enterprise,Commercial,Machine Learning,Natural Language Processing,Information Technology,API,B2B</t>
  </si>
  <si>
    <t>https://app.vainu.io/vainu/prospect/1269727390/</t>
  </si>
  <si>
    <t>Cookiebot, Office365 email, SSL/TLS, Amazon CloudFront, Adobe Typekit, Google Site Verification, PHP, Linkedin, Website, Facebook, Microsoft exchange, Jquery, Varnish, Outlook, Javascript, Tab Icon, Amazon web services, AmazonS, _("Online_Store"), TLS v1.2, Google font api, Google tag manager, Google maps, _("Responsive"), Nginx, Apple Pay, Hotjar, Webflow, Twitter, UNPKG, Form Html Element, Google analytics, Openresty</t>
  </si>
  <si>
    <t>Salesframe Oy</t>
  </si>
  <si>
    <t>2181980-8</t>
  </si>
  <si>
    <t>Korkeavuorenkatu 30</t>
  </si>
  <si>
    <t>www.salesframe.com</t>
  </si>
  <si>
    <t>Software,Enterprise Software,Contact Management,SaaS,Small and Medium Businesses,Lead Management,CRM,Sales Enablement,B2C,Digital Marketing,Sales,Sales Automation,B2B</t>
  </si>
  <si>
    <t>https://app.vainu.io/vainu/prospect/283080/</t>
  </si>
  <si>
    <t>Office365 email, Linkedin Analytics / Advertisement Pixel, TLS v1.0, Pinterest, SSL/TLS, Stimulus, Google Site Verification, TLS v1.1, Mailchimp, PHP, Linkedin, Website, Squarespace, Intranet, Facebook, Afterpay, Vimeo, Microsoft exchange, Outlook, Youtube Embed, Javascript, Tab Icon, Linkedin Insight Tag, Pipedrive Leadbooster, TLS v1.2, Google font api, Linkedin Data Partner, Google tag manager, Xhtml, _("Responsive"), Office 365, Slack, Pipedrive, Twitter, Embed.Ly, Form Html Element, Facebook Share Button Plugin, Leadfeeder</t>
  </si>
  <si>
    <t>Screenful Oy</t>
  </si>
  <si>
    <t>2537244-1</t>
  </si>
  <si>
    <t>Inarintie 16 B 22</t>
  </si>
  <si>
    <t>https://screenful.com/</t>
  </si>
  <si>
    <t>Application Performance Management,Management Information Systems,Software,Enterprise Software,Real Time,SaaS,Enterprise,Small and Medium Businesses,Commercial,Data Visualization,Test and Measurement,Analytics,Information Technology,Project Management,Productivity Tools,Consumer Software,Task Management,B2B</t>
  </si>
  <si>
    <t>https://app.vainu.io/vainu/prospect/547894/</t>
  </si>
  <si>
    <t>American Express, Discover, TLS v1.0, SSL/TLS, Crisp Chat, Adobe Typekit, Google Site Verification, TLS v1.1, Mailchimp, PHP, Html5, Linkedin, Microsoft Word, Fastly, Website, Squarespace, Intranet, Hubspot, Facebook, Afterpay, Vimeo, Jquery, Mixpanel Analytics, Youtube Embed, Google Plus, Atlassian Statuspage, Recaptcha, Javascript, Tab Icon, Amazon web services, Polyfill, TLS v1.2, MasterCard, Google tag manager, Xhtml, _("Responsive"), Slack, Twitter, Dropbox, Form Html Element, Blog, Gmail</t>
  </si>
  <si>
    <t>Seidat Oy</t>
  </si>
  <si>
    <t>2659096-9</t>
  </si>
  <si>
    <t>www.seidat.com</t>
  </si>
  <si>
    <t>Software,Enterprise Software,Contact Management,SaaS,Commercial,Presentations,Presentation Software,Productivity Tools,B2C,Virtual Workforce,Sales,B2B</t>
  </si>
  <si>
    <t>https://app.vainu.io/vainu/prospect/754253/</t>
  </si>
  <si>
    <t>Google Shopping, Google adwords, Finnish, Openresty, SSL/TLS, Amazon CloudFront, Paytrail, Adobe Typekit, Google Site Verification, Node.js, PHP, Mailchimp, Linkedin, Mongodb, Website, Youtube, Facebook, Google remarketing, Vimeo, Jquery, Varnish, Youtube Embed, Javascript, Tab Icon, Amazon web services, Doubleclick, TLS v1.2, Stripe Online Payments, Google font api, Google tag manager, Google maps, _("Responsive"), Nginx, Google Conversion, Webflow, Twitter, Meteor, Embed.Ly, Django, Freshsales CRM, Form Html Element, Google analytics, Instagram, Gmail, Python, English</t>
  </si>
  <si>
    <t>Seita Technologies Oy</t>
  </si>
  <si>
    <t>1741110-5</t>
  </si>
  <si>
    <t>Malminkaari 10 B</t>
  </si>
  <si>
    <t>seitatech.fi/en</t>
  </si>
  <si>
    <t>Mobile Payments,Transaction Processing,Software,Financial Services,SaaS,E-Commerce,Payments,FinTech,Software Engineering</t>
  </si>
  <si>
    <t>https://app.vainu.io/vainu/prospect/288706/</t>
  </si>
  <si>
    <t>Worldpay, Office365 email, Bootstrap 4.3, W3 Total Cache 2.1, American Express, OWL Carousel, Finnish, Microsoft azure, Mysql, WordPress 5.8, Google Site Verification, PHP, MasterPass, Linkedin, Mobilepay, Font awesome, Website, Facebook, Vimeo, Jquery, Microsoft exchange, Outlook, Youtube Embed, Yoast SEO, Gravatar, Javascript, Tab Icon, Google font api, MasterCard, jQuery Migrate, WordPress 5, Wordpress, Google maps, Google tag manager, _("Responsive"), Contact Form 7 Wordpress Plugin, Apple Pay, Twitter, Dropbox, Bootstrap, Form Html Element, Yoast SEO 17.1, Google analytics, W3 total cache, Apache, Samsung Pay, English</t>
  </si>
  <si>
    <t>Sellforte Solutions Oy</t>
  </si>
  <si>
    <t>2832424-2</t>
  </si>
  <si>
    <t>www.sellforte.com</t>
  </si>
  <si>
    <t>Product Search,Marketing,Advertising,Software,Real Time,SaaS,Personalization,Machine Learning,Analytics,B2C,Artificial Intelligence,Big Data,Marketing Automation,B2B</t>
  </si>
  <si>
    <t>https://app.vainu.io/vainu/prospect/496019042/</t>
  </si>
  <si>
    <t>Office365 email, section.io, Linkedin Analytics / Advertisement Pixel, Hubspot Forms, SSL/TLS, Stimulus, Adobe Typekit, Google Site Verification, PHP, Teamtailor, Html5, Linkedin, Website, Font awesome, Youtube, Hubspot CMS, Hubspot, Facebook, Salesforce, Jquery, Vimeo, Varnish, Outlook, Microsoft exchange, Ruby, Youtube Embed, Ziggeo, Javascript, Tab Icon, Linkedin Insight Tag, Polyfill, TLS v1.2, Google font api, Linkedin Data Partner, MasterCard, Google maps, Google tag manager, Wordpress, Rackcache, _("Responsive"), Nginx, Slack, Hotjar, Webflow, Twitter, Embed.Ly, Form Html Element, Google analytics, Facebook Like Button Plugin, Facebook Share Button Plugin, Facebook pixel, Blog, Hubspot Email, Leadfeeder, Heroku, GoToWebinar, Openresty, Fontfaceobserver, Global Site Tag</t>
  </si>
  <si>
    <t>la, De, Sv, En, Nl</t>
  </si>
  <si>
    <t>Sellpro</t>
  </si>
  <si>
    <t>1742104-7</t>
  </si>
  <si>
    <t>sellpro.net</t>
  </si>
  <si>
    <t>Product Search,Mobile,Software,Enterprise Software,SaaS,E-Commerce,Consumer,Gamification,Retail Technology,Consumer Applications,Consumer Software,B2C,Retail</t>
  </si>
  <si>
    <t>https://app.vainu.io/vainu/prospect/1643981384/</t>
  </si>
  <si>
    <t>Slick, Google adwords, American Express, Linkedin Analytics / Advertisement Pixel, Hubspot Forms, Pinterest, SSL/TLS, Glassdoor Job Search, Google Site Verification, Openssl, Google play, PHP, Html5, Linkedin, Apache 2.4, Website, Font awesome, Youtube, Atlassian, Intranet, Hubspot CMS, Hubspot, Facebook, Vimeo, Jquery, AMP, Linkedin Sign-in, Youtube Embed, Javascript, Recaptcha, Tab Icon, Linkedin Insight Tag, Hubspot Meetings Plugin, TLS v1.2, jsDelivr, Visa, Google font api, Linkedin Data Partner, Hubspot Marketing Hub, MasterCard, Google tag manager, Apple App Store, Atlassian Domain Verification, _("Responsive"), Nginx, Office 365, Apple Pay, Twitter, Amazon SES, HubSpot CMS Hub, UNPKG, Materialize CSS, Nginx 1.16, Cloudflare, Bootstrap, Form Html Element, Extranet, Google analytics, Hubspot Sales, Facebook Share Button Plugin, Blog, OpenSSL 1.1, Hubspot Email, Apache, GoToWebinar, Adroll, Global Site Tag</t>
  </si>
  <si>
    <t>Sharetribe Oy</t>
  </si>
  <si>
    <t>2432359-2</t>
  </si>
  <si>
    <t>Erottajankatu 19 B</t>
  </si>
  <si>
    <t>www.sharetribe.com</t>
  </si>
  <si>
    <t>Online Auctions,Online Forums,Software,Marketplace,SaaS,Small and Medium Businesses,E-Commerce,Sharing Economy,Collaborative Consumption,E-Commerce Platforms,Local Business,Online Portals,Crowdsourcing,Internet,B2C,B2B</t>
  </si>
  <si>
    <t>https://app.vainu.io/vainu/prospect/532315/</t>
  </si>
  <si>
    <t>Prismic.Io, TLS v1.0, SSL/TLS, Amazon CloudFront, Gatsby 3.10, Adobe Typekit, Google Site Verification, Netlify, TLS v1.1, Mailchimp, Typeform, Html5, Linkedin, Fastly, Website, Gatsby, Youtube, Facebook, Jquery, Typekit, Atlassian Statuspage, Recaptcha, Javascript, Tab Icon, Webpack, Amazon web services, TLS v1.2, Google font api, Homerun, Google tag manager, Atlassian Domain Verification, React, Nginx, _("Responsive"), Twitter, Amazon SES, Intercom Articles, Form Html Element, Google analytics, Gmail, Apache, Sendgrid, Intercom, Global Site Tag</t>
  </si>
  <si>
    <t>Showell Oy</t>
  </si>
  <si>
    <t>2475880-1</t>
  </si>
  <si>
    <t>Piippukatu 11</t>
  </si>
  <si>
    <t>https://www.showell.com/</t>
  </si>
  <si>
    <t>Marketing,Mobile Apps,Software,Enterprise Software,Contact Management,SaaS,Sales Enablement,CRM,Presentations,B2C,Sales,Sales Automation,B2B</t>
  </si>
  <si>
    <t>https://app.vainu.io/vainu/prospect/712725/</t>
  </si>
  <si>
    <t>ChargeBee, Active Campaign, Hubspot Forms, TLS v1.0, SSL/TLS, Amazon CloudFront, Glassdoor Job Search, Google Site Verification, Google play, Html5, Addthis, Linkedin, Website, Greenhouse, Intranet, Hubspot CMS, Hubspot, Facebook, Chargebee 2, Workable, Jquery, Vimeo, AMP, Linkedin Sign-in, Javascript, Tab Icon, Amazon web services, Vidyard, _("Online_Store"), Google font api, Hubspot Marketing Hub, Google tag manager, _("Responsive"), Slack, Giropay, Twitter, HubSpot CMS Hub, Cloudflare, Form Html Element, Extranet, Instagram, Hubspot Customer Feedback, Blog, Gmail, GoToWebinar</t>
  </si>
  <si>
    <t>Sievo Oy</t>
  </si>
  <si>
    <t>1868818-1</t>
  </si>
  <si>
    <t>Mikonkatu 15 A</t>
  </si>
  <si>
    <t>www.sievo.com</t>
  </si>
  <si>
    <t>Finance,Management Information Systems,Software,Enterprise Software,SaaS,Contract Management,Procurement,Commercial,Machine Learning,Analytics,Information Technology,Supply Chain Management,Artificial Intelligence,B2B</t>
  </si>
  <si>
    <t>https://app.vainu.io/vainu/prospect/290317/</t>
  </si>
  <si>
    <t>Office365 email, Hubspot Forms, SSL/TLS, Microsoft azure, Amazon CloudFront, Mysql, Hubspot Analytics, Google Site Verification, PHP, Mailchimp, Typeform, Linkedin, Website, Youtube, Hubspot CMS, Hubspot, Facebook, Google PageSpeed 1.13, Vimeo, Jquery, Microsoft exchange, Outlook, Youtube Embed, Javascript, Tab Icon, Hubspot Leadflows, Amazon web services, TLS v1.2, Google font api, jQuery Migrate, Google tag manager, Atlassian Domain Verification, Wordpress, _("Responsive"), Nginx, Contact Form 7 Wordpress Plugin, Office 365, Google pagespeed, Jobylon, Twitter, HubSpot CMS Hub, Cloudflare, Form Html Element, Google analytics, Instagram, Blog, Hubspot Email, GoToWebinar</t>
  </si>
  <si>
    <t>Silverbucket Oy</t>
  </si>
  <si>
    <t>2371301-1</t>
  </si>
  <si>
    <t>Hämeenkatu 26 A</t>
  </si>
  <si>
    <t>www.silverbucket.com</t>
  </si>
  <si>
    <t>Management Information Systems,Software,Enterprise Software,SaaS,Enterprise,Small and Medium Businesses,Business Information Systems,Information Technology,Project Management,Productivity Tools,Virtual Workforce,Task Management</t>
  </si>
  <si>
    <t>https://app.vainu.io/vainu/prospect/290925/</t>
  </si>
  <si>
    <t>Google adwords, Finnish, SSL/TLS, G2 Crowd Conversion Tracking, Adobe Typekit, Google Site Verification, Nginx 1.12, Mailchimp, Linkedin, Website, Youtube, Intranet, Hubspot, Facebook, Google remarketing, English, Vimeo, Jquery, Varnish, Youtube Embed, Javascript, Recaptcha, Tab Icon, Doubleclick, TLS v1.2, Google font api, Google tag manager, _("Responsive"), Nginx, Google Conversion, Webflow, Twitter, Form Html Element, Google analytics, Instagram, Facebook pixel, Gmail, Openresty, Global Site Tag</t>
  </si>
  <si>
    <t>SimplBooks Oy</t>
  </si>
  <si>
    <t>2819885-6</t>
  </si>
  <si>
    <t>Lautatarhankatu 10</t>
  </si>
  <si>
    <t>www.simplbooks.fi</t>
  </si>
  <si>
    <t>Accounting,Software Engineering,Software,SaaS</t>
  </si>
  <si>
    <t>https://app.vainu.io/vainu/prospect/415964097/</t>
  </si>
  <si>
    <t>TLS v1.0, Flash, SSL/TLS, Mysql, Paytrail, Google Site Verification, Yoast SEO 12.8, Apache / ZoneOS, PHP, Linkedin, Website, Font awesome, Youtube, Facebook, Jquery, Youtube Embed, Yoast SEO, Gravatar, Recaptcha, Javascript, Tab Icon, TLS v1.2, Monsterinsights, Google font api, jQuery Migrate, Google tag manager, WordPress 5, Wordpress, _("Responsive"), Contact Form 7 Wordpress Plugin, Hotjar, Dropbox, Form Html Element, Google analytics, Facebook pixel, Sendgrid, Apache, Zendesk</t>
  </si>
  <si>
    <t>Smarp Oy</t>
  </si>
  <si>
    <t>2393634-6</t>
  </si>
  <si>
    <t>Kalevankatu 20</t>
  </si>
  <si>
    <t>www.smarp.com</t>
  </si>
  <si>
    <t>Real Time,Celebrity,Information Technology,Virtual Workforce,Mobile,Employee Engagement,Video Chat,Enterprise,Operating Systems,B2C,B2B,Enterprise Software,Contact Management,SaaS,Content Discovery,Social Media,Social CRM,Messaging,Online Forums,Software,Human Resources,Productivity Tools</t>
  </si>
  <si>
    <t>https://app.vainu.io/vainu/prospect/292848/</t>
  </si>
  <si>
    <t>Cookiebot, Alexa Analytics Certified, Linkedin Analytics / Advertisement Pixel, Hubspot Forms, TLS v1.0, SSL/TLS, Amazon CloudFront, Mysql, Glassdoor Job Search, G2 Crowd Conversion Tracking, Hubspot Analytics, Adobe Typekit, Google Site Verification, TLS v1.1, Mailchimp, PHP, Html5, Linkedin, Website, Font awesome, Chili Piper, Youtube, Twitter Ads, Intranet, Hubspot CMS, Hubspot, scrollreveal, Facebook, Salesforce, Jquery, Typekit, Vimeo, Linkedin Sign-in, Youtube Embed, Google Plus, Javascript, Tab Icon, Linkedin Insight Tag, Amazon web services, TLS v1.2, Drift Chat, Google font api, jsDelivr, Linkedin Data Partner, Hubspot Marketing Hub, Google tag manager, Xhtml, Wordpress, React, Nginx, _("Responsive"), Twitter, HubSpot CMS Hub, Cloudflare, Unbounce, Form Html Element, Jobvite, Google analytics, Instagram, Facebook pixel, Blog, Gmail, Leadfeeder, GoToWebinar, Zendesk</t>
  </si>
  <si>
    <t>Smartly.io Holding Oy</t>
  </si>
  <si>
    <t>2555760-6</t>
  </si>
  <si>
    <t>Elielinaukio 2 G</t>
  </si>
  <si>
    <t>www.smartly.io</t>
  </si>
  <si>
    <t>Brand Marketing,Ad Targeting,Real Time,Celebrity,Machine Learning,Affiliate Marketing,Information Technology,Google,Consumer Applications,Crowdsourcing,Content Creators,Big Data,SEM,Advertising,Mobile,Product Search,Mobile Advertising,SEO,Consumer Reviews,Social Media Marketing,Commercial,Facebook,B2C,Artificial Intelligence,App Marketing,B2B,Search Engine,Marketing,Local Advertising,Digital Media,Developer APIs,Enterprise Software,SaaS,Personalization,E-Commerce,Video,Social Media,Creative Agency,Social CRM,Content Discovery,DSP,Advertising Platforms,Semantic Web,Consumer Software,Local Business,API,Marketing Automation,Online Forums,Software,Marketplace,Semantic Search,Content Delivery Network,Visual Search,Luxury,Content Marketing,Social Media Advertising,Analytics,Content,Internet,Digital Marketing,Consumer</t>
  </si>
  <si>
    <t>https://app.vainu.io/vainu/prospect/292905/</t>
  </si>
  <si>
    <t>Cookiebot, Bizible, Linkedin Analytics / Advertisement Pixel, Facebook Domain Verification, Hubspot Forms, SSL/TLS, Amazon CloudFront, Glassdoor Job Search, Google Site Verification, Mailchimp, Linkedin, Website, Greenhouse, Hubspot CMS, Hubspot, Facebook, Vimeo, Jquery, Youtube Embed, Javascript, Tab Icon, Amazon web services, TLS v1.2, Docusign, Google font api, Segment, Hubspot Marketing Hub, Google tag manager, Google maps, _("Responsive"), Office 365, Twitter, HubSpot CMS Hub, Cloudflare, Olark, Form Html Element, Instagram, GoToWebinar, Snapchat, Zendesk</t>
  </si>
  <si>
    <t>Sniffie Software Oy</t>
  </si>
  <si>
    <t>2709148-3</t>
  </si>
  <si>
    <t>https://www.sniffie.io/</t>
  </si>
  <si>
    <t>Product Search,Software,SaaS,Machine Learning,Analytics,Retail Technology,Artificial Intelligence,Big Data</t>
  </si>
  <si>
    <t>https://app.vainu.io/vainu/prospect/1633274/</t>
  </si>
  <si>
    <t>Wordpress super cache, section.io, American Express, Hubspot Forms, TLS v1.0, SSL/TLS, Stimulus, Mysql, Google Site Verification, TLS v1.1, PHP, Teamtailor, Html5, Linkedin, Website, Font awesome, Hubspot CMS, Hubspot, Facebook, Vimeo, Jquery, Varnish, Ruby, Elementor, Flickr, Yoast SEO, Youtube Embed, Ziggeo, Javascript, Tab Icon, Polyfill, _("Online_Store"), TLS v1.2, Visa, Google Pay, Google font api, Hubspot Marketing Hub, WordPress 5.7, MasterCard, Google maps, WordPress 5, Wordpress, Rackcache, Google tag manager, _("Responsive"), Apple Pay, Hotjar, Twitter, Form Html Element, Yoast SEO 17.1, Google analytics, Facebook Like Button Plugin, Facebook Share Button Plugin, Blog, Gmail, Intercom, Heroku, GoToWebinar, Fontfaceobserver</t>
  </si>
  <si>
    <t>Snow Software Oy</t>
  </si>
  <si>
    <t>2680811-2</t>
  </si>
  <si>
    <t>Huopalahdentie 24 A</t>
  </si>
  <si>
    <t>HELSINGFORS</t>
  </si>
  <si>
    <t>snowsoftware.com</t>
  </si>
  <si>
    <t>Application Performance Management,Management Information Systems,Software,Enterprise Software,Computer,SaaS,Enterprise,Operating Systems,Information Technology</t>
  </si>
  <si>
    <t>https://app.vainu.io/vainu/prospect/1169543/</t>
  </si>
  <si>
    <t>Marketo, Office365 email, Google adwords, ZOOM, Linkedin Analytics / Advertisement Pixel, Discover, MaxMind, Microsoft azure, Amazon CloudFront, Adobe Typekit, Google Site Verification, PHP, Html5, Smartrecruiters, Linkedin, Marketo Forms 2, Website, Font awesome, Amazon EC2, Youtube, PDF.js, Facebook, Acquia Cloud Platform, Vimeo, Jquery, Typekit, Varnish, Outlook, Microsoft exchange, Brightcove, Youtube Embed, Google Plus, Javascript, Recaptcha, Tab Icon, Linkedin Insight Tag, Marketo Forms, Amazon web services, AmazonS, Bootstrap 3.3, _("Online_Store"), Doubleclick, Salesforce Lightning Platform, Google font api, Docusign, Linkedin Data Partner, Google tag manager, Salesforce Community, Percona, Atlassian Domain Verification, Salesforce marketing cloud, Drupal 8, Nginx, Office 365, Slack, _("Responsive"), Drupal, New relic, Twitter, Wistia, Pardot, Embed.Ly, Bootstrap, Cloudflare, Modernizr, Form Html Element, Bootstrap 4.6, Cxense, Google analytics, Cookie Consent By Insites, Apache, Leadfeeder, Angularjs, Global Site Tag</t>
  </si>
  <si>
    <t>SoftCo Finland Oy</t>
  </si>
  <si>
    <t>2745893-5</t>
  </si>
  <si>
    <t>Salomonkatu 17 A</t>
  </si>
  <si>
    <t>http://softco.com/</t>
  </si>
  <si>
    <t>Management Information Systems,Software,Enterprise Software,Financial Services,SaaS,Contract Management,Enterprise,Payments,FinTech,Business Information Systems,Information Technology,Document Management,Billing,API</t>
  </si>
  <si>
    <t>https://app.vainu.io/vainu/prospect/2987824/</t>
  </si>
  <si>
    <t>Mimecast, Google adwords, Linkedin Analytics / Advertisement Pixel, Flash video, TLS v1.0, Flash, SSL/TLS, Amazon CloudFront, Mysql, Google Site Verification, Dynamics CRM Online, TLS v1.1, PHP, Addthis, Linkedin, Website, Youtube, Hubspot, Facebook, Google remarketing, Jquery, Youtube Embed, Javascript, Tab Icon, Linkedin Insight Tag, Amazon web services, Doubleclick, TLS v1.2, jsDelivr, Google font api, Linkedin Data Partner, Apache, Google tag manager, Wordpress, _("Responsive"), Contact Form 7 Wordpress Plugin, Google Conversion, Exclaimer Cloud, Hotjar, Catapult Cookie Consent, Twitter, Amazon SES, Form Html Element, Google analytics, W3 total cache, Clickdimensions, Adroll, Global Site Tag</t>
  </si>
  <si>
    <t>SoftwareONE Finland Oy</t>
  </si>
  <si>
    <t>0916468-5</t>
  </si>
  <si>
    <t>Keilaranta 19 D</t>
  </si>
  <si>
    <t>www.softwareone.com</t>
  </si>
  <si>
    <t>Application Performance Management,Management Information Systems,Software,Enterprise Software,SaaS,Cloud Security,Enterprise,PaaS,Enterprise Applications,Operating Systems,Security,Information Technology,Cloud Data Services,Cloud Computing,Open Source,Consumer Software,Internet,Virtual Workforce</t>
  </si>
  <si>
    <t>https://app.vainu.io/vainu/prospect/138871/</t>
  </si>
  <si>
    <t>Ro, Marketo, Facebook Domain Verification, SSL/TLS, Glassdoor Job Search, Google Site Verification, PHP, Html5, Linkedin, Website, Youtube, Vi, Facebook, Vimeo, LB, Microsoft exchange, Outlook, Javascript, Tab Icon, Amazon web services, Service Now, TLS v1.2, Adobe Sign, Google tag manager, Requirejs, _("Responsive"), Office 365, iCIMS, Uk, Sr, Twitter, Cloudflare, Form Html Element, Si, Instagram, Facebook Share Button Plugin, Zendesk</t>
  </si>
  <si>
    <t>Is, Nb, Zh, Sk, Ru, Ja, Bg, Es, Id, Th, Tr, Ko, It, En, Nl, Fr</t>
  </si>
  <si>
    <t>Solaforce Oy</t>
  </si>
  <si>
    <t>2617406-8</t>
  </si>
  <si>
    <t>Linnoitustie 4 A</t>
  </si>
  <si>
    <t>www.solaforce.com</t>
  </si>
  <si>
    <t>Management Information Systems,Software,SaaS,Human Resources,Information Technology,Software Engineering,Virtual Workforce</t>
  </si>
  <si>
    <t>https://app.vainu.io/vainu/prospect/694739/</t>
  </si>
  <si>
    <t>Office365 email, Yoast SEO 14.9, Finnish, TLS v1.0, SSL/TLS, Mysql, TLS v1.1, Mailchimp, PHP, Linkedin, Website, animate.css, Facebook, Vimeo, Jquery, Outlook, Youtube Embed, Yoast SEO, Javascript, Tab Icon, Nginx 1.18, WP Engine, Amazon web services, Polyfill, TLS v1.2, Google font api, jQuery Migrate, Google maps, Wordpress, _("Responsive"), Nginx, Contact Form 7 Wordpress Plugin, Slack, Twitter, Bootstrap, Form Html Element, Google analytics, English</t>
  </si>
  <si>
    <t>Solibri Oy</t>
  </si>
  <si>
    <t>1058643-9</t>
  </si>
  <si>
    <t>Tammasaarenkatu 5</t>
  </si>
  <si>
    <t>solibri.com</t>
  </si>
  <si>
    <t>Management Information Systems,Construction,Software,Computer,SaaS,Building Information Modeling (BIM),Information Technology</t>
  </si>
  <si>
    <t>https://app.vainu.io/vainu/prospect/293592/</t>
  </si>
  <si>
    <t>Craft Commerce, Office365 email, American Express, Finnish, WordPress 5.4, TLS v1.0, SSL/TLS, Amazon CloudFront, Mysql, Google Site Verification, Node.js, TLS v1.1, Mailchimp, PHP, Html5, Linkedin, Website, Gatsby, Youtube, German, Facebook, English, Salesforce, Jquery, Vimeo, Dutch, Outlook, Microsoft exchange, Youtube Embed, Javascript, Craft CMS, Tab Icon, Gatsby 3.11, Webpack, Paddle, Amazon web services, AmazonS, _("Online_Store"), TLS v1.2, Google font api, MasterCard, Google tag manager, WordPress 5, Wordpress, React, _("Responsive"), Office 365, MailJet, Hotjar, New relic, Twitter, Amazon SES, UNPKG, Zurb foundation, Cloudflare, Modernizr, Form Html Element, NodeBB, Google analytics, Facebook pixel, Facebook Share Button Plugin, Hubspot Email, Yii, Sendgrid, Zendesk</t>
  </si>
  <si>
    <t>Sometrik Oy</t>
  </si>
  <si>
    <t>2646647-4</t>
  </si>
  <si>
    <t>Hiomotie 42 B 37</t>
  </si>
  <si>
    <t>sometrik.com</t>
  </si>
  <si>
    <t>Software,SaaS,Machine Learning,Analytics,Natural Language Processing,Artificial Intelligence</t>
  </si>
  <si>
    <t>https://app.vainu.io/vainu/prospect/727036/</t>
  </si>
  <si>
    <t>Website, Bootstrap, TLS v1.2, Form Html Element, lodash, Pepyaka 1.19, SSL/TLS, Pepyaka, Tab Icon, Wix, Whatsapp Website Icon, React, _("Responsive"), Google Site Verification, Slack, Javascript</t>
  </si>
  <si>
    <t>Sparkwork Software Oy</t>
  </si>
  <si>
    <t>2628664-1</t>
  </si>
  <si>
    <t>Mikkolantie 1 B</t>
  </si>
  <si>
    <t>https://sparkwork.io/</t>
  </si>
  <si>
    <t>Management Information Systems,Software,Enterprise Software,Education,SaaS,Enterprise,Commercial,Compliance,Training,Information Technology,E-Learning,Corporate Training,Virtual Workforce,Knowledge Management,B2B</t>
  </si>
  <si>
    <t>https://app.vainu.io/vainu/prospect/686567/</t>
  </si>
  <si>
    <t>OWL Carousel, Pinterest, SSL/TLS, Mysql, Google Site Verification, Google play, PHP, Mailchimp, Interface.Ai, Linkedin, Apache 2.4, Website, Font awesome, Youtube, Intranet, animate.css, Facebook, Vimeo, Jquery, Brightcove, Youtube Embed, Gravatar, Javascript, Recaptcha, Tab Icon, Amazon web services, TLS v1.2, Google font api, Matomo, Apple App Store, Wordpress, WordPress 5, Atlassian Domain Verification, _("Responsive"), Contact Form 7 Wordpress Plugin, Slack, Twitter, Form Html Element, Google analytics, Facebook Share Button Plugin, wpBakery, Blog, Gmail, Apache, TripAdvisor</t>
  </si>
  <si>
    <t>Steamlane Oy</t>
  </si>
  <si>
    <t>2729355-2</t>
  </si>
  <si>
    <t>Visiokatu 1</t>
  </si>
  <si>
    <t>steamlane.com</t>
  </si>
  <si>
    <t>Data Science,Software,SaaS,UX Design,Machine Learning,Consulting,Data Visualization,Analytics,Predictive Analytics,Information Technology,Artificial Intelligence,Big Data,Knowledge Management</t>
  </si>
  <si>
    <t>https://app.vainu.io/vainu/prospect/96388553/</t>
  </si>
  <si>
    <t>Microsoft asp.net, Office365 email, SSL/TLS, Microsoft azure, Appinsights, PHP, Linkedin, Website, TLS problem, Font awesome, Microsoft exchange, Jquery, Outlook, Tab Icon, Javascript, TLS v1.2, Google font api, _("Responsive"), Microsoft IIS 10.0, Microsoft IIS, Azure Application Insights, Bootstrap, Modernizr</t>
  </si>
  <si>
    <t>Stonks Oy</t>
  </si>
  <si>
    <t>3123171-7</t>
  </si>
  <si>
    <t>Pursimiehenkatu 14 B 34</t>
  </si>
  <si>
    <t>joinevergreenapp.com</t>
  </si>
  <si>
    <t>Software,SaaS,Human Resources,Apps,Information Technology</t>
  </si>
  <si>
    <t>https://app.vainu.io/vainu/prospect/2121127231/</t>
  </si>
  <si>
    <t>SSL/TLS, Glassdoor Job Search, Adobe Typekit, Google Site Verification, Stripe, Node.js, PHP, Linkedin, Website, Youtube, Calendly, Cowboy, Jquery, Varnish, Youtube Embed, Javascript, Tab Icon, Lua, Amazon web services, Stripe Online Payments, Drift Chat, TLS v1.2, Google font api, jQuery 3.5, Google tag manager, Google maps, _("Responsive"), Nginx, Slack, Webflow, Castle Accont Takeout Prevention, Twitter, Form Html Element, Express, Blog, Heroku, Openresty</t>
  </si>
  <si>
    <t>Stratman Oy</t>
  </si>
  <si>
    <t>0689523-9</t>
  </si>
  <si>
    <t>C/0 KETONEN SINIVUOKONTIE 3</t>
  </si>
  <si>
    <t>LEMPÄÄLÄ</t>
  </si>
  <si>
    <t>stratman.fi</t>
  </si>
  <si>
    <t>Software,SaaS,CRM,Information Technology,Sales,Sales Automation</t>
  </si>
  <si>
    <t>https://app.vainu.io/vainu/prospect/63655/</t>
  </si>
  <si>
    <t>Joomla, SSL/TLS, Select2, PHP, Html5, Apache 2.4, Moment.js, TLS problem, Website, Font awesome, animate.css, Uikit, Vimeo, Jquery, Mootools, Jquery ui, Javascript, Recaptcha, TLS v1.2, jQuery Migrate, _("Responsive"), Office 365, Slack, Bootstrap, Modernizr, Form Html Element, Debian, jQuery-pjax, Apache</t>
  </si>
  <si>
    <t>Supermetrics Oy</t>
  </si>
  <si>
    <t>2552282-5</t>
  </si>
  <si>
    <t>Kaivokatu 10</t>
  </si>
  <si>
    <t>supermetrics.com</t>
  </si>
  <si>
    <t>SQL,Data Science,Management Information Systems,Application Performance Management,Real Time,Machine Learning,Data Visualization,Predictive Analytics,Information Technology,Google,Big Data,Advertising,Commercial,Business Information Systems,B2C,Artificial Intelligence,B2B,Marketing,Developer APIs,Enterprise Software,SaaS,Semantic Web,Data Mining,Data Integration,API,Database,Marketing Automation,Data Center Automation,Business Intelligence,Software,Semantic Search,Analytics,Data Management,Internet,Digital Marketing</t>
  </si>
  <si>
    <t>https://app.vainu.io/vainu/prospect/717549/</t>
  </si>
  <si>
    <t>Active Campaign, Clipboard.js, section.io, OWL Carousel, TLS v1.0, SSL/TLS, Stimulus, Amazon CloudFront, Mysql, WordPress 5.8, Google Site Verification, TLS v1.1, PHP, Teamtailor, Html5, Linkedin, Website, Font awesome, Facebook, Prism, Salesforce, Jquery, Vimeo, Varnish, Ruby, Yoast SEO, Youtube Embed, Ziggeo, Recaptcha, Javascript, Tab Icon, Linkedin Jobs Plugin, Exponea, Amazon web services, AmazonS, TLS v1.2, Google font api, jQuery Migrate, Google maps, WordPress 5, Wordpress, Rackcache, Atlassian Domain Verification, Google tag manager, Contact Form 7 Wordpress Plugin, Office 365, Slack, _("Responsive"), Hotjar, Ahrefs SEO tools, Twitter, Cloudflare, Form Html Element, Yoast SEO 17.0, Google analytics, Instagram, Facebook Share Button Plugin, Facebook Like Button Plugin, Facebook pixel, W3 total cache, Freshdesk Freshchat, Gmail, Heroku, Fontfaceobserver</t>
  </si>
  <si>
    <t>Surveypal Oy</t>
  </si>
  <si>
    <t>2106411-8</t>
  </si>
  <si>
    <t>Kauppakatu 3 B 25</t>
  </si>
  <si>
    <t>www.surveypal.com</t>
  </si>
  <si>
    <t>Management Information Systems,Customer Experience,Software,SaaS,Customer Engagement,Analytics,Service Industry,Information Technology,Customer Service</t>
  </si>
  <si>
    <t>https://app.vainu.io/vainu/prospect/303956/</t>
  </si>
  <si>
    <t>Backbone.js, Office365 email, Finnish, Facebook Domain Verification, TLS v1.0, SSL/TLS, Pvmailer, Mysql, Adobe Typekit, Google Site Verification, TLS v1.1, PHP, Html5, Linkedin, Website, Font awesome, Intranet, Facebook, Microsoft exchange, Jquery, Outlook, Zendesk Chat, Gravatar, Javascript, Tab Icon, Pipedrive Leadbooster, Underscore.js 1.13, Azure Edge, TLS v1.2, Google font api, jQuery Migrate, Google tag manager, Xhtml, Wordpress, _("Responsive"), Wp rocket, Pipedrive, Venmo, Zendesk, Twitter, Cloudflare, Underscore.js, Form Html Element, Google analytics, Blog, Sendgrid, Apache, Intercom, English</t>
  </si>
  <si>
    <t>Sympa Oy</t>
  </si>
  <si>
    <t>1938597-5</t>
  </si>
  <si>
    <t>Askonkatu 9 E</t>
  </si>
  <si>
    <t>www.sympa.fi</t>
  </si>
  <si>
    <t>Software,SaaS,Human Resources,Information Technology,B2B</t>
  </si>
  <si>
    <t>https://app.vainu.io/vainu/prospect/107416/</t>
  </si>
  <si>
    <t>Office365 email, Taboola, Finnish, Linkedin Analytics / Advertisement Pixel, Flash video, Hubspot Forms, Flash, TLS v1.0, SSL/TLS, Mysql, Bouncex, Hubspot Analytics, Thetradedesk / Adbrain, TLS v1.1, PHP, Linkedin, Website, Oracle marketing cloud, Swedish, Youtube, Outbrain, Intranet, Hubspot CMS, Hubspot, German, Facebook, English, Vimeo, Jquery, Dutch, Microsoft exchange, Outlook, Youtube Embed, Javascript, Tab Icon, Hubspot Leadflows, Recruitee, Vidyard, Doubleclick, TLS v1.2, Liadm, Google font api, jQuery Migrate, Google tag manager, Gravity Forms, Wordpress, _("Responsive"), Office 365, MailJet, Optanon Cookie Consent, Danish, Hubspot Ads Pixel, Sympa Hr, Twitter, Dropbox, Norwegian, OneTrust, Cloudflare, Form Html Element, Gravity Forms 2.5, Hubspot Live Chat, Google analytics, Instagram, Seravo, GoToWebinar, Zendesk</t>
  </si>
  <si>
    <t>Taimer Oy</t>
  </si>
  <si>
    <t>2542216-2</t>
  </si>
  <si>
    <t>Pajatie 8</t>
  </si>
  <si>
    <t>www.taimer.com</t>
  </si>
  <si>
    <t>Accounting,Management Information Systems,Software,Enterprise Software,SaaS,Small and Medium Businesses,Commercial,Business Information Systems,CRM,Information Technology,Project Management,B2B</t>
  </si>
  <si>
    <t>https://app.vainu.io/vainu/prospect/548771/</t>
  </si>
  <si>
    <t>Slick, TLS v1.0, SSL/TLS, Mysql, Google Site Verification, Google play, Stripe, TLS v1.1, PHP, Html5, Linkedin, Website, Lighttpd, Font awesome, Youtube, Survicate, Hubspot CMS, animate.css, Hubspot, Facebook, Appcues, Vimeo, Jquery, Instafeed, Lightbox, Youtube Embed, Moove Cookie Consent, Gravatar, Recaptcha, Javascript, Tab Icon, Stripe Online Payments, TLS v1.2, Google font api, jQuery Migrate, Google maps, Xhtml, Wordpress, WordPress 5, Google tag manager, Nginx, Contact Form 7 Wordpress Plugin, React, _("Responsive"), Amplitude, Hotjar, Jobylon, Castle Accont Takeout Prevention, Twitter, Bootstrap, Cloudflare, Form Html Element, Instagram, Facebook Share Button Plugin, wpBakery, Blog, Gmail, Flickity, Intercom</t>
  </si>
  <si>
    <t>Taitori Oy</t>
  </si>
  <si>
    <t>2373571-2</t>
  </si>
  <si>
    <t>Fredrikinkatu 34 A 10</t>
  </si>
  <si>
    <t>www.taitori.fi</t>
  </si>
  <si>
    <t>Management Information Systems,Software,SaaS,Commercial,Business Information Systems,Information Technology,Internet of Things,Information Services,Smart Building,B2B</t>
  </si>
  <si>
    <t>https://app.vainu.io/vainu/prospect/714191/</t>
  </si>
  <si>
    <t>Wordpress 4.9, Office365 email, Wordpress 4, Hubspot Forms, TLS v1.0, Pinterest, SSL/TLS, Divi 1.0, Mysql, Google Site Verification, Google play, TLS v1.1, Mailchimp, PHP, Linkedin, Website, Aurelia, Youtube, Intranet, Hubspot, Facebook, Vimeo, Jquery, Microsoft exchange, Outlook, Flickr, Yoast SEO 12.4, Yoast SEO, Youtube Embed, Giosg, Gravatar, Javascript, TLS v1.2, Visa, Google font api, MasterCard, jQuery Migrate, Google maps, Wordpress, Google tag manager, _("Responsive"), Nginx, Contact Form 7 Wordpress Plugin, Dream broker, Zendesk, Twitter, Divi, Form Html Element, Google analytics, Instagram, Facebook Share Button Plugin, Sendgrid, Global Site Tag</t>
  </si>
  <si>
    <t>Takomo Solutions Oy</t>
  </si>
  <si>
    <t>2731436-8</t>
  </si>
  <si>
    <t>https://app.vainu.io/vainu/prospect/15856553/</t>
  </si>
  <si>
    <t>Talbit Oy</t>
  </si>
  <si>
    <t>2862399-8</t>
  </si>
  <si>
    <t>www.talbit.fi</t>
  </si>
  <si>
    <t>Management Information Systems,Software,Enterprise Software,SaaS,Employee Engagement,Enterprise,Small and Medium Businesses,Human Resources,Information Technology,Talent Management,Virtual Workforce</t>
  </si>
  <si>
    <t>https://app.vainu.io/vainu/prospect/674820107/</t>
  </si>
  <si>
    <t>Office365 email, SSL/TLS, Adobe Typekit, Google Site Verification, Leadfeeder, Typeform, Linkedin, Website, Facebook, Vimeo, Jquery, Microsoft exchange, Varnish, Outlook, Javascript, Tab Icon, Linkedin Insight Tag, Hubspot Meetings Plugin, Stripe Online Payments, TLS v1.2, Google font api, Linkedin Data Partner, Google maps, _("Responsive"), Nginx, Office 365, Webflow, Twitter, Embed.Ly, Form Html Element, Google analytics, Instagram, Facebook pixel, Hubspot Sales, Intercom, Openresty</t>
  </si>
  <si>
    <t>Talea Solutions Oy</t>
  </si>
  <si>
    <t>2623898-1</t>
  </si>
  <si>
    <t>Salomonkatu 17 B</t>
  </si>
  <si>
    <t>https://talea.fi/</t>
  </si>
  <si>
    <t>Advertising,Marketing,Digital Media,Software,SaaS,Commercial,Analytics,DSP,Information Technology,Information Services,B2C,Media and Entertainment,B2B</t>
  </si>
  <si>
    <t>https://app.vainu.io/vainu/prospect/726069/</t>
  </si>
  <si>
    <t>Litespeed, TLS v1.0, SSL/TLS, Mysql, Google Site Verification, TLS v1.1, PHP, Linkedin, Website, Jquery, Flickr, Javascript, Tab Icon, Amazon web services, TLS v1.2, Google font api, WordPress 5.7, jQuery Migrate, WordPress 5, Wordpress, _("Responsive"), Litespeed Cache, Form Html Element, Gmail</t>
  </si>
  <si>
    <t>Tangible Growth Oy</t>
  </si>
  <si>
    <t>2895395-4</t>
  </si>
  <si>
    <t>tangible-growth.com</t>
  </si>
  <si>
    <t>Management Information Systems,Software,Enterprise Software,SaaS,Enterprise,Commercial,Consulting,Information Technology,Innovation Management,Virtual Workforce,B2B</t>
  </si>
  <si>
    <t>https://app.vainu.io/vainu/prospect/890211662/</t>
  </si>
  <si>
    <t>Office365 email, Hubspot Forms, Amazon CloudFront, Linkedin, Website, Hubspot CMS, Hubspot, Salesforce, Jquery, Microsoft exchange, Outlook, Tab Icon, Javascript, Amazon web services, jsDelivr, Google font api, Google tag manager, Atlassian Domain Verification, _("Responsive"), Office 365, Slack, Twitter, HubSpot CMS Hub, Bootstrap, Cloudflare, Bootstrap 4.6, Form Html Element, Google analytics, Hubspot Email, GoToWebinar</t>
  </si>
  <si>
    <t>Targetor Oy</t>
  </si>
  <si>
    <t>1819200-4</t>
  </si>
  <si>
    <t>Isokatu 56</t>
  </si>
  <si>
    <t>www.targetor.com</t>
  </si>
  <si>
    <t>Business Intelligence,Software,SaaS,Information Technology,Management Consulting</t>
  </si>
  <si>
    <t>https://app.vainu.io/vainu/prospect/309890/</t>
  </si>
  <si>
    <t>Flash video, TLS v1.0, Flash, SSL/TLS, Pinterest, Mysql, TLS v1.1, PHP, Linkedin, Website, Youtube, Tumblr, Facebook, Vimeo, Jquery, Zendesk Chat, Lightbox, Google Plus, Youtube Embed, Gravatar, Javascript, Tab Icon, TLS v1.2, Google font api, jQuery Migrate, Wordpress, _("Responsive"), Contact Form 7 Wordpress Plugin, Twitter, Dropbox, Form Html Element, Google analytics, Blog, Gmail, Apache</t>
  </si>
  <si>
    <t>Tattara Toolbox Oy</t>
  </si>
  <si>
    <t>1729387-4</t>
  </si>
  <si>
    <t>Hannulantie 31</t>
  </si>
  <si>
    <t>HORMISTO</t>
  </si>
  <si>
    <t>tattara.com</t>
  </si>
  <si>
    <t>Software,Enterprise Software,Real Time,SaaS,Data Visualization,Analytics,Information Technology,Data Mining,Data Integration,Database,Big Data</t>
  </si>
  <si>
    <t>https://app.vainu.io/vainu/prospect/473879/</t>
  </si>
  <si>
    <t>Litespeed, Wordpress 4, OWL Carousel, TLS v1.0, Flash, SSL/TLS, Amazon CloudFront, Mysql, Smartyads, Google Site Verification, Select2, Google play, TLS v1.1, PHP, Website, Font awesome, Facebook, Vimeo, Jquery, Youtube Embed, Google Plus, Gravatar, Javascript, Tab Icon, Jquery ui, Amazon web services, AmazonS, TLS v1.2, Google font api, jQuery Migrate, Google maps, Wordpress, particles.js, _("Responsive"), Contact Form 7 Wordpress Plugin, Twitter, Dropbox, Bootstrap, Litespeed Cache, Form Html Element, Google analytics, Instagram, Blog, Gmail, ha</t>
  </si>
  <si>
    <t>Tehden Oy</t>
  </si>
  <si>
    <t>2127138-7</t>
  </si>
  <si>
    <t>Pitkämäenkatu 11 A</t>
  </si>
  <si>
    <t>www.tehden.com</t>
  </si>
  <si>
    <t>Enterprise Resource Planning (ERP),Software,SaaS</t>
  </si>
  <si>
    <t>https://app.vainu.io/vainu/prospect/310757/</t>
  </si>
  <si>
    <t>Facebook Domain Verification, Hubspot Forms, TLS v1.0, Vkontakte, SSL/TLS, Mysql, Hubspot Analytics, TLS v1.1, PHP, Html5, Linkedin, Website, Font awesome, Youtube, Tumblr, Hubspot, Mycashflow, Facebook, Vimeo, Jquery, Elementor, Zendesk Chat, Yoast SEO, Youtube Embed, Google Plus, Javascript, Hubspot Leadflows, Tab Icon, Hubspot Meetings Plugin, _("Online_Store"), TLS v1.2, Hubspot Marketing Hub, Google tag manager, Google maps, Atlassian Domain Verification, Wordpress, _("Responsive"), Nginx, Evolution solutions, Hubspot Ads Pixel, Twitter, Cloudflare, Form Html Element, Yoast SEO 17.1, Hubspot Live Chat, Google analytics, Instagram, Hubspot Sales, Whatsapp Website Icon, Gmail, Checkout finland, Zendesk</t>
  </si>
  <si>
    <t>The Rudolf Oy</t>
  </si>
  <si>
    <t>2822758-1</t>
  </si>
  <si>
    <t>Korkeakoulunkatu 7</t>
  </si>
  <si>
    <t>www.therudolf.com</t>
  </si>
  <si>
    <t>Software,Enterprise Software,SaaS,Business Information Systems,CRM,Information Technology,Sales,Sales Automation,B2B</t>
  </si>
  <si>
    <t>https://app.vainu.io/vainu/prospect/428111373/</t>
  </si>
  <si>
    <t>Office365 email, TLS v1.0, Vkontakte, SSL/TLS, Mysql, Site Kit 1.40, TLS v1.1, PHP, Html5, Linkedin, Website, Tumblr, Facebook, Elementor 3.4, Site Kit, Jquery, Vimeo, Microsoft exchange, Outlook, Elementor, WP-Statistics 13.1, Yoast SEO, Flickr, Google Plus, Javascript, Tab Icon, Underscore.js 1.13, TLS v1.2, Google font api, jQuery Migrate, Google tag manager, WordPress 5, Wordpress, _("Responsive"), Contact Form 7 Wordpress Plugin, Office 365, Slack, Twitter, Cloudflare, Underscore.js, Form Html Element, Yoast SEO 17.1, Swiper Slider, Whatsapp Website Icon, WP-Statistics, Sendgrid</t>
  </si>
  <si>
    <t>The TailorGuide Company Oy</t>
  </si>
  <si>
    <t>2754183-5</t>
  </si>
  <si>
    <t>Friitalantie 11 B</t>
  </si>
  <si>
    <t>ULVILA</t>
  </si>
  <si>
    <t>www.tailor.guide</t>
  </si>
  <si>
    <t>Product Search,Software,SaaS,E-Commerce,Fashion,E-Commerce Platforms,Retail Technology,Internet,B2C,Retail</t>
  </si>
  <si>
    <t>https://app.vainu.io/vainu/prospect/5722158/</t>
  </si>
  <si>
    <t>TLS v1.0, Vue.js 757229, SSL/TLS, Google Site Verification, Google play, TLS v1.1, Mailchimp, Html5, Website, Vue.js, Facebook, Jquery, Javascript, Amazon web services, Bootstrap 3.3, TLS v1.2, Google font api, Google tag manager, _("Responsive"), Vue.js 3015, Bootstrap, Cloudflare, Form Html Element, Google analytics, Instagram, Gmail</t>
  </si>
  <si>
    <t>Fi, Ja, En, Es</t>
  </si>
  <si>
    <t>Tidy Technologies Oy</t>
  </si>
  <si>
    <t>2734394-3</t>
  </si>
  <si>
    <t>http://www.tidycms.com</t>
  </si>
  <si>
    <t>Developer APIs,Web Development,Software,CMS,Web Design,SaaS,Developer Tools,E-Commerce,Blogging Platforms,Information Technology,Consumer Software,Internet,Developer Platform,Web Browsers</t>
  </si>
  <si>
    <t>https://app.vainu.io/vainu/prospect/2763126/</t>
  </si>
  <si>
    <t>Slick, Google PageSpeed 1.12, SSL/TLS, Google Site Verification, Mailchimp, Linkedin, Website, Font awesome, Highlight.js, Youtube, Twitter Ads, Bootstrap 4.7, Facebook, Vimeo, Jquery, Nginx 1.10, Youtube Embed, Javascript, Tab Icon, Talkus Chat, _("Online_Store"), TLS v1.2, Google tag manager, Google maps, _("Responsive"), Nginx, Slack, Google pagespeed, Twitter, Bootstrap, Form Html Element, Slick 1.6, Blog, Gmail, Ubuntu</t>
  </si>
  <si>
    <t>Tikean Oy</t>
  </si>
  <si>
    <t>2831191-9</t>
  </si>
  <si>
    <t>Paimenenkallio 9 C</t>
  </si>
  <si>
    <t>tikean.com</t>
  </si>
  <si>
    <t>Management Information Systems,Software,Enterprise Software,Real Time,SaaS,Data Integration,Database,Data Visualization,Analytics,Information Technology,Data Management,Data Mining,Information Services,API,Big Data</t>
  </si>
  <si>
    <t>https://app.vainu.io/vainu/prospect/514719796/</t>
  </si>
  <si>
    <t>Office365 email, American Express, Hubspot Forms, SSL/TLS, Mysql, Hubspot Analytics, Google Site Verification, PHP, Linkedin, Website, ConvertKit, Font awesome, Hubspot, Facebook, Vimeo, Jquery, Microsoft exchange, Outlook, Youtube Embed, Yoast SEO, Javascript, _("Online_Store"), TLS v1.2, Visa, Google font api, Google tag manager, WordPress 5, Wordpress, _("Responsive"), Froala Editor, Wistia, Form Html Element, WordPress 5.6, Facebook Share Button Plugin, Yoast SEO 15.9, Spot.Im / Disgus, Wpx Cloud</t>
  </si>
  <si>
    <t>TimePlan Software Oy</t>
  </si>
  <si>
    <t>2630828-1</t>
  </si>
  <si>
    <t>Valuraudankuja 6</t>
  </si>
  <si>
    <t>www.timeplan-software.com</t>
  </si>
  <si>
    <t>Management Information Systems,Software,SaaS,Human Resources,Information Technology,Virtual Workforce</t>
  </si>
  <si>
    <t>https://app.vainu.io/vainu/prospect/686508/</t>
  </si>
  <si>
    <t>Google Shopping, Cookiebot, Office365 email, Google adwords, Linkedin Analytics / Advertisement Pixel, MaxMind, Finnish, TLS v1.0, SSL/TLS, Mysql, Google Site Verification, TLS v1.1, PHP, Linkedin, Microsoft Word, Website, Swedish, Youtube, German, Crowdio Chat, Facebook, Google remarketing, Vimeo, Jquery, Microsoft exchange, Dutch, Outlook, Flickr, Yoast SEO, Youtube Embed, Google Plus, Recaptcha, Gravatar, WP Engine, Javascript, Tab Icon, Linkedin Insight Tag, Divi 4.4, Doubleclick, TLS v1.2, Google font api, Linkedin Data Partner, jQuery Migrate, Google tag manager, Gravity Forms, Wordpress, Underscore.js 1.8, _("Responsive"), Nginx, Office 365, MailJet, Google Conversion, Danish, Twitter, Norwegian, Divi, Underscore.js, Handlebars, Form Html Element, Yoast SEO 17.1, Google analytics, Facebook pixel, Cookie Consent By Insites, English</t>
  </si>
  <si>
    <t>Nb, De, Da, No, Fi, Sv, En, Nl</t>
  </si>
  <si>
    <t>Trackinno Oy</t>
  </si>
  <si>
    <t>2677783-8</t>
  </si>
  <si>
    <t>Åkerlundinkatu 8</t>
  </si>
  <si>
    <t>www.trackinno.com</t>
  </si>
  <si>
    <t>Management Information Systems,Software,SaaS,Enterprise,UX Design,Operating Systems,Information Technology,Internet of Things,Asset Management</t>
  </si>
  <si>
    <t>https://app.vainu.io/vainu/prospect/1167321/</t>
  </si>
  <si>
    <t>Nginx 1.15, Hubspot Forms, TLS v1.0, SSL/TLS, Mysql, Google Site Verification, Google play, TLS v1.1, Mailchimp, PHP, Linkedin, Website, Youtube, Hubspot CMS, Hubspot, Facebook, Jquery, Youtube Embed, Gravatar, Javascript, Tab Icon, Nginx 1.18, Amazon web services, TLS v1.2, Google font api, Google tag manager, Google maps, Apple App Store, Wordpress, WordPress 5, React, Nginx, _("Responsive"), Slack, Freshchat, Castle Accont Takeout Prevention, Twitter, Form Html Element, W3 total cache, Instagram, Freshdesk Freshchat, Blog, Gmail, Intercom, GoToWebinar</t>
  </si>
  <si>
    <t>Trustmary Finland Oy</t>
  </si>
  <si>
    <t>2822240-6</t>
  </si>
  <si>
    <t>Ahjokatu 14</t>
  </si>
  <si>
    <t>trustmary.com</t>
  </si>
  <si>
    <t>Marketing,Software,SaaS,Video,Social CRM,Analytics,Information Technology,Internet,B2C,Sales,Customer Service,B2B</t>
  </si>
  <si>
    <t>https://app.vainu.io/vainu/prospect/463879815/</t>
  </si>
  <si>
    <t>Slick, Spanish, Finnish, Amazon CloudFront, Mysql, AdTraction, Youtube, Vimeo, Varnish, Mixpanel Analytics, Pipedrive Leadbooster, AmazonS, Hotjar, Castle Accont Takeout Prevention, Twitter, Form Html Element, English, TLS v1.1, PHP, Html5, Swedish, German, Facebook, Gravatar, TLS v1.2, Liveagent, jQuery Migrate, Rackcache, _("Responsive"), Slack, Norwegian, Intercom Articles, Cloudflare, Facebook pixel, Blog, Sendgrid, Heroku, Fontfaceobserver, Stimulus, Google Site Verification, ConvertKit, Font awesome, Survicate, Youtube Embed, Ziggeo, Trustmary, Google font api, Google tag manager, Google maps, Gravity Forms, Wordpress, WordPress 5, Pipedrive, Wistia, Olark, Instagram, Facebook Share Button Plugin, Intercom, Active Campaign, section.io, French, TLS v1.0, SSL/TLS, Teamtailor, Linkedin, Ecwid, Website, Calendly, Jquery, Ruby, Tab Icon, Javascript, Amazon web services, React, Wolt App, Danish, Facebook Page Plugin, Google analytics, Seravo, Facebook Like Button Plugin, Gmail</t>
  </si>
  <si>
    <t>De, Da, No, Fi, Es, Sv, En, Fr</t>
  </si>
  <si>
    <t>Tumplate Oy</t>
  </si>
  <si>
    <t>2966313-1</t>
  </si>
  <si>
    <t>Lemuntie 3-5 A 15</t>
  </si>
  <si>
    <t>tumplate.com</t>
  </si>
  <si>
    <t>Advertising,Marketing,CMS,Software,SaaS,Social Media,Content Marketing,Content,B2C,Content Creators</t>
  </si>
  <si>
    <t>https://app.vainu.io/vainu/prospect/1512630742/</t>
  </si>
  <si>
    <t>Finnish, Flash video, SSL/TLS, Google Site Verification, PHP, Linkedin, Website, Google Cloud, Facebook, Vimeo, Jquery, Varnish, Tab Icon, Javascript, Vidyard, TLS v1.2, Google tag manager, _("Responsive"), Nginx, Slack, MailJet, Webflow, Twitter, Wistia, Dropbox, Form Html Element, Google analytics, Instagram, Gmail, Spot.Im / Disgus, Openresty</t>
  </si>
  <si>
    <t>Tuunix Oy</t>
  </si>
  <si>
    <t>2061040-4</t>
  </si>
  <si>
    <t>Hautakorventie 13</t>
  </si>
  <si>
    <t>KAUHAJOKI AS</t>
  </si>
  <si>
    <t>http://www.tuunix.fi</t>
  </si>
  <si>
    <t>Mobile Apps,Software,SaaS,Small and Medium Businesses,Apps,Information Technology,Productivity Tools,Consumer Software,Internet,Virtual Workforce,Task Management</t>
  </si>
  <si>
    <t>https://app.vainu.io/vainu/prospect/321877/</t>
  </si>
  <si>
    <t>Flash, Swfobject, Google play, Select2, PHP, Html5, Website, Font awesome, Youtube, Intranet, animate.css, Facebook, Jquery, Youtube Embed, Tab Icon, Javascript, _("Online_Store"), Google font api, Google tag manager, Prettyphoto, Apple App Store, Xhtml, _("Responsive"), MailJet, Hotjar, Osano, Bootstrap, Modernizr, Form Html Element, Extranet, Google analytics, Facebook pixel, Apache, Global Site Tag</t>
  </si>
  <si>
    <t>Tweedo Oy</t>
  </si>
  <si>
    <t>3019222-6</t>
  </si>
  <si>
    <t>tweedo.io</t>
  </si>
  <si>
    <t>Mobile,Mobile Apps,Software,Contact Management,SaaS,Video Chat,Apps,Information Technology,Productivity Tools,Messaging</t>
  </si>
  <si>
    <t>https://app.vainu.io/vainu/prospect/1736054194/</t>
  </si>
  <si>
    <t>TLS v1.0, Flash, SSL/TLS, Ddos-Guard, Google Site Verification, TLS v1.1, Linkedin, Hammer.js, TLS problem, Website, Facebook, Vimeo, Jquery, Youtube Embed, Javascript, Tab Icon, _("Online_Store"), TLS v1.2, Google font api, Apple App Store, Tilda Cms, _("Responsive"), Uk, Yandex Metrica, Twitter, Russian, Form Html Element, Google analytics, Facebook pixel, Tilda, Gmail, Topmailru, English</t>
  </si>
  <si>
    <t>URANO OY</t>
  </si>
  <si>
    <t>2013852-5</t>
  </si>
  <si>
    <t>Hämeentie 155 C</t>
  </si>
  <si>
    <t>www.urano.fi</t>
  </si>
  <si>
    <t>Software,SaaS,Information Technology,Messaging,Artificial Intelligence,Customer Service</t>
  </si>
  <si>
    <t>https://app.vainu.io/vainu/prospect/662024/</t>
  </si>
  <si>
    <t>Office365 email, Wordpress super cache, Litespeed, American Express, TLS v1.0, SSL/TLS, Mysql, Jousto, TLS v1.1, PHP, MasterPass, Website, Mash / Euroloan, Mobilepay, Facebook, Afterpay, Vimeo, Jquery, Microsoft exchange, Outlook, Flickr, Yoast SEO, Gravatar, Giosg, Javascript, Tab Icon, Underscore.js 1.13, WooCommerce 5.6, _("Online_Store"), Visa, Google font api, MasterCard, jQuery Migrate, WordPress 5, Wordpress, Google tag manager, _("Responsive"), Gravity Forms, Twitter, Underscore.js, Form Html Element, Yoast SEO 17.0, Google analytics, Woocommerce, webCRM, Checkout finland, Leadfeeder, SendinBlue, Global Site Tag</t>
  </si>
  <si>
    <t>Ubisecure Oy</t>
  </si>
  <si>
    <t>1748721-4</t>
  </si>
  <si>
    <t>Vaisalantie 2</t>
  </si>
  <si>
    <t>www.ubisecure.com</t>
  </si>
  <si>
    <t>Software,Identity Management,SaaS,Enterprise,Biometrics,Security,Cyber Security,Information Technology,Data Security</t>
  </si>
  <si>
    <t>https://app.vainu.io/vainu/prospect/407866/</t>
  </si>
  <si>
    <t>Atlassian confluence, Office365 email, Active Campaign, TLS v1.0, Pinterest, SSL/TLS, Mysql, TLS v1.1, PHP, Html5, Linkedin, Website, Youtube, Intranet, Facebook, Salesforce, ActiveCampaign, Instafeed, Java, Jquery, Outlook, Microsoft exchange, Yoast SEO, Gravatar, Javascript, Tab Icon, WP Engine, TLS v1.2, Google font api, jQuery Migrate, Google maps, Atlassian Domain Verification, Wordpress, Google tag manager, _("Responsive"), Gravity Forms, Slack, Twitter, Cloudflare, Form Html Element, Yoast SEO 17.1, Google analytics, Facebook Share Button Plugin, wpBakery, Blog, Global Site Tag</t>
  </si>
  <si>
    <t>Utopia Analytics Oy</t>
  </si>
  <si>
    <t>2641158-8</t>
  </si>
  <si>
    <t>Vilhonkatu 6 A</t>
  </si>
  <si>
    <t>utopiaanalytics.com</t>
  </si>
  <si>
    <t>Software,Enterprise Software,Real Time,SaaS,Commercial,Machine Learning,Analytics,Natural Language Processing,Information Technology,Semantic Web,Data Mining,Artificial Intelligence,Big Data,B2B</t>
  </si>
  <si>
    <t>https://app.vainu.io/vainu/prospect/725841/</t>
  </si>
  <si>
    <t>Portuguese, Google adwords, French, SSL/TLS, Mysql, Adobe Typekit, Google Site Verification, PHP, Linkedin, Website, German, Facebook, LianaMailer, English, Vimeo, Jquery, Typekit, Youtube Embed, Yoast SEO, Gravatar, Recaptcha, Javascript, Tab Icon, TLS v1.2, Google font api, Google tag manager, Google maps, Gravity Forms, Wordpress, _("Responsive"), Nginx, Slack, Twitter, Nginx 1.16, Modernizr, Form Html Element, Google analytics, Facebook Share Button Plugin, Yoast SEO 16.9, Gmail, Leadfeeder, Global Site Tag</t>
  </si>
  <si>
    <t>De, Fi, Pt, En, Fr</t>
  </si>
  <si>
    <t>VALEGA Chain Analytics OY</t>
  </si>
  <si>
    <t>2976932-3</t>
  </si>
  <si>
    <t>www.valegachain.com</t>
  </si>
  <si>
    <t>Cryptocurrency,Software,Financial Services,SaaS,FinTech,Analytics,Blockchain,Security,Cyber Security,Information Technology,Compliance,API</t>
  </si>
  <si>
    <t>https://app.vainu.io/vainu/prospect/1528550971/</t>
  </si>
  <si>
    <t>MaxMind, Hubspot Forms, TLS v1.0, SSL/TLS, Google Site Verification, TLS v1.1, PHP, Html5, Linkedin, Apache 2.4, Website, Youtube, Google Cloud, Hubspot CMS, Hubspot, Facebook, Jquery, AMP, Linkedin Sign-in, Javascript, Recaptcha, Tab Icon, jsDelivr, Google font api, Google tag manager, Wordpress, _("Responsive"), MailJet, Osano, Twitter, HubSpot CMS Hub, D3, UNPKG, Cloudflare, Form Html Element, Debian, Google analytics, Instagram, Cookie Consent By Insites, Blog, Gmail, Apache, SweetAlert2, GoToWebinar, Global Site Tag</t>
  </si>
  <si>
    <t>VOICEFLOW</t>
  </si>
  <si>
    <t>2423994-8</t>
  </si>
  <si>
    <t>Emännäntie 25 A 7</t>
  </si>
  <si>
    <t>voiceflow.com</t>
  </si>
  <si>
    <t>Artificial Intelligence,Software,Enterprise Software,Real Time,SaaS,Video Chat,Enterprise,Machine Learning,Collaboration,Productivity Tools,Messaging,Human Computer Interaction,Developer Platform,Virtual Workforce,Sales</t>
  </si>
  <si>
    <t>https://app.vainu.io/vainu/prospect/197225572/</t>
  </si>
  <si>
    <t>Google Sign-in, Facebook Domain Verification, Flash video, Breezy HR, SSL/TLS, Amazon CloudFront, Adobe Typekit, Google Site Verification, Ruby on rails, Typeform, Addthis, Github.com, Fastly, Website, Font awesome, Highlight.js, Youtube, Intranet, Calendly, Hubspot, Facebook, Bootstrap 4.5, Jquery, Discourse 2.8, Varnish, Ruby, ReDoc, Youtube Embed, Google Plus, Atlassian Statuspage, Recaptcha, Gravatar, Javascript, Tab Icon, Amazon web services, Polyfill, _("Online_Store"), TLS v1.2, jsDelivr, Google font api, Google Pay, GitHub Pages, Google tag manager, Autopilot, Nginx, React, Slack, _("Responsive"), Hotjar, Webflow, Castle Accont Takeout Prevention, Twitter, Wistia, UNPKG, Embed.Ly, Bootstrap, Form Html Element, Google analytics, Facebook pixel, Discourse, Gmail, Sendgrid, Intercom, Openresty, Global Site Tag</t>
  </si>
  <si>
    <t>Vaadin Oy</t>
  </si>
  <si>
    <t>1613563-9</t>
  </si>
  <si>
    <t>Ruukinkatu 2-4</t>
  </si>
  <si>
    <t>http://vaadin.com</t>
  </si>
  <si>
    <t>Developer APIs,Mobile Apps,Software,Web Development,SaaS,Developer Tools,Commercial,Consulting,Apps,Enterprise Applications,Information Technology,Web Apps,Software Engineering,Open Source,Consumer Software,Developer Platform,B2B</t>
  </si>
  <si>
    <t>https://app.vainu.io/vainu/prospect/325412/</t>
  </si>
  <si>
    <t>Hubspot Forms, TLS v1.0, SSL/TLS, Amazon CloudFront, Google Site Verification, TLS v1.1, PHP, Html5, Linkedin, Website, Gatsby, Youtube, Intranet, Hubspot CMS, Hubspot, Facebook, Workable, Jquery, Linkedin Sign-in, Youtube Embed, Javascript, Tab Icon, Webpack, Amazon web services, Vidyard, TLS v1.2, jsDelivr, Google font api, Gatsby 2.32, Google tag manager, React, Nginx, _("Responsive"), Amplitude, Twitter, Amazon SES, HubSpot CMS Hub, Zurb foundation, Cloudflare, Form Html Element, Google analytics, Instagram, Facebook Share Button Plugin, Blog, Hubspot Email, Alpine.js, Gmail, GoToWebinar</t>
  </si>
  <si>
    <t>Vainu. io Software Oy</t>
  </si>
  <si>
    <t>2557864-2</t>
  </si>
  <si>
    <t>Eteläesplanadi 12</t>
  </si>
  <si>
    <t>www.vainu.com</t>
  </si>
  <si>
    <t>Real Time,Information Technology,Big Data,Sales,Sales Automation,Commercial,Business Information Systems,B2C,B2B,Marketing,Enterprise Software,SaaS,CRM,Data Integration,API,Marketing Automation,Business Intelligence,Software,Lead Generation,Analytics</t>
  </si>
  <si>
    <t>https://app.vainu.io/vainu/prospect/708216/</t>
  </si>
  <si>
    <t>Google Shopping, Google adwords, Linkedin Analytics / Advertisement Pixel, Finnish, Flash video, Hubspot Forms, TLS v1.0, SSL/TLS, Amazon CloudFront, Google Site Verification, TLS v1.1, PHP, Linkedin, Website, Swedish, Youtube, Twitter Ads, Hubspot CMS, Hubspot, Facebook, Google remarketing, Dutch, Jquery, AMP, Linkedin Sign-in, Jquery ui, Javascript, Tab Icon, Linkedin Insight Tag, Amazon web services, Doubleclick, Google font api, Linkedin Data Partner, Hubspot Marketing Hub, Google tag manager, _("Responsive"), Google Conversion, Danish, Italian, Twitter, Wistia, Amazon SES, HubSpot CMS Hub, Norwegian, Cloudflare, Form Html Element, Google analytics, Instagram, Facebook pixel, Hubspot Email, Gmail, Leadfeeder, GoToWebinar, English</t>
  </si>
  <si>
    <t>Da, No, Fi, Sv, En, Nl</t>
  </si>
  <si>
    <t>Valamis Group Oy</t>
  </si>
  <si>
    <t>1867943-7</t>
  </si>
  <si>
    <t>Koskikatu 7 A</t>
  </si>
  <si>
    <t>JOENSUU</t>
  </si>
  <si>
    <t>https://www.valamis.com/</t>
  </si>
  <si>
    <t>Corporate Training,Business Intelligence,Software,Enterprise Software,Education,EdTech,SaaS,Analytics,Gamification,Information Technology,E-Learning,Skill Assessment,Artificial Intelligence,Training,Knowledge Management</t>
  </si>
  <si>
    <t>https://app.vainu.io/vainu/prospect/123822/</t>
  </si>
  <si>
    <t>Liferay 7.0, Office365 email, American Express, OWL Carousel, Linkedin Analytics / Advertisement Pixel, Hubspot Forms, TLS v1.0, Laura Rekrytointi, Vkontakte, SSL/TLS, Finnish, Google Site Verification, Google play, TLS v1.1, PHP, Linkedin, Website, Youtube, Intranet, Hubspot CMS, Hubspot, German, Facebook, English, Salesforce, Jquery, Vimeo, Dutch, Outlook, Microsoft exchange, Youtube Embed, Javascript, Tab Icon, Linkedin Insight Tag, TLS v1.2, Google font api, Liferay, Linkedin Data Partner, Google tag manager, Wordpress, _("Responsive"), Office 365, Hotjar, Twitter, Form Html Element, Extranet, Google analytics, Instagram, Facebook pixel, Sendgrid, Apache, Leadfeeder, GoToWebinar, Global Site Tag</t>
  </si>
  <si>
    <t>Valo Solutions Oy</t>
  </si>
  <si>
    <t>1732654-1</t>
  </si>
  <si>
    <t>http://www.valointranet.com</t>
  </si>
  <si>
    <t>Application Performance Management,Management Information Systems,Enterprise Resource Planning (ERP),CMS,Consulting,Information Technology,Information Services,Virtual Workforce,Computer,Enterprise,Commercial,Operating Systems,Business Information Systems,Collaboration,Knowledge Management,B2B,Enterprise Software,Contact Management,SaaS,CRM,Consumer Software,Software,Project Management,Productivity Tools,Internet</t>
  </si>
  <si>
    <t>https://app.vainu.io/vainu/prospect/291137/</t>
  </si>
  <si>
    <t>Slick, Cookiebot, Office365 email, American Express, Finnish, Facebook Domain Verification, Hubspot Forms, TLS v1.0, French, SSL/TLS, Mysql, Google Site Verification, TLS v1.1, PHP, Html5, Linkedin, Website, Swedish, Youtube, Intranet, Hubspot CMS, Hubspot, German, Facebook, English, Vimeo, Jquery, Dutch, Microsoft exchange, Outlook, Yoast SEO, Youtube Embed, Gravatar, Javascript, Tab Icon, TLS v1.2, Google font api, jQuery Migrate, Google tag manager, Wordpress, _("Responsive"), Nginx, Office 365, Danish, Twitter, HubSpot CMS Hub, Cloudflare, Form Html Element, Extranet, Japanese, Yoast SEO 17.0, Google analytics, Instagram, Facebook Share Button Plugin, Icelandic, Blog, Hubspot Email, GoToWebinar, Zendesk</t>
  </si>
  <si>
    <t>De, Fi, Ja, Es, En, Nl, Fr</t>
  </si>
  <si>
    <t>Valohai Oy</t>
  </si>
  <si>
    <t>2786205-7</t>
  </si>
  <si>
    <t>Linnankatu 16</t>
  </si>
  <si>
    <t>valohai.com</t>
  </si>
  <si>
    <t>Artificial Intelligence,Data Center Automation,Software,Enterprise Software,SaaS,Commercial,Machine Learning,Analytics,Information Technology,API,Big Data,Intelligent Systems,B2B</t>
  </si>
  <si>
    <t>https://app.vainu.io/vainu/prospect/104528497/</t>
  </si>
  <si>
    <t>Clipboard.js, TLS v1.0, SSL/TLS, Amazon CloudFront, Hubspot Analytics, Adobe Typekit, Google Site Verification, TLS v1.1, Html5, Linkedin, Website, Youtube, Hubspot, Facebook, Afterpay, Jquery, Lightbox, Javascript, Tab Icon, Hubspot Leadflows, Amazon web services, AmazonS, Happyfox Chat, Stripe Online Payments, TLS v1.2, Google font api, Pygments, Google tag manager, _("Responsive"), Nginx, Office 365, Slack, Castle Accont Takeout Prevention, Hubspot Ads Pixel, Twitter, Django, Underscore.js, Form Html Element, Google analytics, Blog, Gmail, Leadfeeder, Python, Global Site Tag</t>
  </si>
  <si>
    <t>Valota Oy</t>
  </si>
  <si>
    <t>2503041-7</t>
  </si>
  <si>
    <t>www.valota.live</t>
  </si>
  <si>
    <t>Management Information Systems,Software,Enterprise Software,Computer,Digital Signage,Real Time,Enterprise,SaaS,Business Information Systems,Information Technology,Productivity Tools,Consumer Software,Virtual Workforce</t>
  </si>
  <si>
    <t>https://app.vainu.io/vainu/prospect/543276/</t>
  </si>
  <si>
    <t>TLS v1.0, SSL/TLS, Mysql, Google Site Verification, Site Kit 1.40, TLS v1.1, PHP, Linkedin, Website, Youtube, Intranet, Facebook, Site Kit, Jquery, Youtube Embed, Gravatar, Javascript, Tab Icon, TLS v1.2, Google font api, jQuery Migrate, Google tag manager, WordPress 5, Wordpress, Elfsight, _("Responsive"), Nginx, Office 365, Twitter, Form Html Element, Google analytics, Instagram, Blog, Gmail, Intercom, Global Site Tag</t>
  </si>
  <si>
    <t>Vello Solutions Oy</t>
  </si>
  <si>
    <t>2140030-2</t>
  </si>
  <si>
    <t>www.vello.fi</t>
  </si>
  <si>
    <t>Mobile Payments,Software,Enterprise Software,SaaS,E-Commerce,Small and Medium Businesses,Payments,Service Industry,B2B,Scheduling</t>
  </si>
  <si>
    <t>https://app.vainu.io/vainu/prospect/133512/</t>
  </si>
  <si>
    <t>American Express, Finnish, Hubspot Forms, French, SSL/TLS, Amazon CloudFront, Smartyads, Google Site Verification, Node.js, Fon, Linkedin, Website, Swedish, Oracle marketing cloud, Vello, German, Hubspot CMS, Hubspot, Facebook, Jquery, Varnish, Linkedin Sign-in, AMP, Javascript, Tab Icon, Amazon web services, Vidyard, TLS v1.2, Google font api, Hubspot Marketing Hub, MasterCard, Google tag manager, React, _("Responsive"), Twitter, Amazon SES, HubSpot CMS Hub, Cloudflare, Form Html Element, Google analytics, Instagram, Express, Intercom, GoToWebinar, English</t>
  </si>
  <si>
    <t>Videoly Oy</t>
  </si>
  <si>
    <t>2619227-4</t>
  </si>
  <si>
    <t>Albertinkatu 25 B</t>
  </si>
  <si>
    <t>videoly.co</t>
  </si>
  <si>
    <t>Real Time,Product Search,Advertising,Shopping,Enterprise,Commercial,E-Commerce Platforms,B2C,B2B,SaaS,Personalization,E-Commerce,Video,Content Discovery,Service Industry,Software,Visual Search,Internet,Consumer</t>
  </si>
  <si>
    <t>https://app.vainu.io/vainu/prospect/726004/</t>
  </si>
  <si>
    <t>MaxMind, Mysql, Youtube, Vimeo, Varnish, Hubspot Leadflows, Hotjar, New relic, Twitter, Form Html Element, Gravity Forms 2.5, Yoast SEO 17.0, Cookiebot, TLS v1.1, PHP, Html5, Vue.js, Facebook, Gravatar, Recaptcha, TLS v1.2, Linkedin Data Partner, jQuery Migrate, Rackcache, _("Responsive"), Stackla, Slack, Office 365, Cloudflare, Facebook pixel, Cookie Consent By Insites, Blog, Hubspot Email, Heroku, Fontfaceobserver, Stimulus, Hubspot Analytics, Google Site Verification, Font awesome, Survicate, Hubspot, Yoast SEO, Youtube Embed, Ziggeo, Google tag manager, Google maps, Gravity Forms, Wordpress, WordPress 5, Froala Editor, Wistia, UNPKG, Instagram, Facebook Share Button Plugin, section.io, Facebook Domain Verification, Hubspot Forms, TLS v1.0, SSL/TLS, WordPress 5.8, Glassdoor Job Search, Mailchimp, Teamtailor, Linkedin, Website, Twitter Ads, Freshdesk, Jquery, Ruby, Tab Icon, Javascript, Linkedin Insight Tag, Nginx, Hubspot Live Chat, Google analytics, Facebook Like Button Plugin, Gmail, Leadfeeder, Zendesk</t>
  </si>
  <si>
    <t>Viima Solutions Oy</t>
  </si>
  <si>
    <t>2573325-1</t>
  </si>
  <si>
    <t>Keilasatama 5</t>
  </si>
  <si>
    <t>www.viima.com</t>
  </si>
  <si>
    <t>Product Management,Management Information Systems,Software,Enterprise Software,SaaS,Enterprise,Information Technology,Collaboration,Productivity Tools,Crowdsourcing,Innovation Management,Virtual Workforce,B2B</t>
  </si>
  <si>
    <t>https://app.vainu.io/vainu/prospect/698807/</t>
  </si>
  <si>
    <t>Python 3.6, Office365 email, SlideShare, American Express, Hubspot Forms, Vkontakte, SSL/TLS, Amazon CloudFront, Glassdoor Job Search, Hubspot Analytics, Google Site Verification, Openssl, Google play, PHP, Amazon EC2, Linkedin, Apache 2.4, Website, Font awesome, Youtube, Tumblr, OpenSSL 1.0, Intranet, Hubspot CMS, Hubspot, Mod_wsgi, Facebook, Microsoft exchange, Jquery, AMP, Outlook, Flickr, Linkedin Sign-in, Youtube Embed, Google Plus, Javascript, Tab Icon, Amazon web services, Vidyard, TLS v1.2, Google font api, Hubspot Marketing Hub, Google tag manager, Apple App Store, Wordpress, Xhtml, _("Responsive"), mod_wsgi 3.5, Twitter, Wistia, Amazon SES, HubSpot CMS Hub, Dropbox, Bootstrap, Cloudflare, Form Html Element, Google analytics, Instagram, Blog, Hubspot Email, Apache, GoToWebinar, Python, Global Site Tag</t>
  </si>
  <si>
    <t>VividWorks Oy</t>
  </si>
  <si>
    <t>2012897-6</t>
  </si>
  <si>
    <t>Sepänkatu 20</t>
  </si>
  <si>
    <t>www.vividworks.com</t>
  </si>
  <si>
    <t>Product Search,Software,Virtual Reality,SaaS,E-Commerce,Commercial,3D Technology,Information Technology,Cloud Data Services,Consumer Software,B2C,B2B</t>
  </si>
  <si>
    <t>https://app.vainu.io/vainu/prospect/334104/</t>
  </si>
  <si>
    <t>Office365 email, Linkedin Analytics / Advertisement Pixel, SSL/TLS, Mysql, WordPress 5.8, PHP, Html5, Linkedin, Website, Youtube, Facebook, LianaMailer, Microsoft exchange, Jquery, Outlook, Youtube Embed, Gravatar, Javascript, Recaptcha, Tab Icon, Linkedin Insight Tag, Flywheel, TLS v1.2, Linkedin Data Partner, Gravity Forms, WordPress 5, Wordpress, _("Responsive"), Office 365, Twitter, Form Html Element, Japanese, Google analytics, Instagram, Flywheel 5.1, Facebook pixel, Sendgrid, Leadfeeder, English</t>
  </si>
  <si>
    <t>En, Ja</t>
  </si>
  <si>
    <t>Webropol Oy</t>
  </si>
  <si>
    <t>1773960-2</t>
  </si>
  <si>
    <t>Huovitie 3</t>
  </si>
  <si>
    <t>webropol.fi</t>
  </si>
  <si>
    <t>Software,Enterprise Software,SaaS,Commercial,Information Technology,Market Research,B2B</t>
  </si>
  <si>
    <t>https://app.vainu.io/vainu/prospect/328620/</t>
  </si>
  <si>
    <t>Slick, Backbone.js, Office365 email, Finnish, TLS v1.0, Flash, SSL/TLS, Pinterest, Mysql, Webropol, TLS v1.1, PHP, Linkedin, Website, Webrobol Surveys, Intranet, Facebook, Microsoft exchange, Jquery, Outlook, Youtube Embed, Yoast SEO, Javascript, WP Engine, TLS v1.2, Google font api, Google tag manager, Wordpress, _("Responsive"), Nginx, Contact Form 7 Wordpress Plugin, Office 365, Yoast SEO 16.7, Twitter, Underscore.js, Modernizr, Form Html Element, wpBakery, MailChannels</t>
  </si>
  <si>
    <t>WheelQ Oy</t>
  </si>
  <si>
    <t>2553764-8</t>
  </si>
  <si>
    <t>Kaisaniemenkatu 2 B</t>
  </si>
  <si>
    <t>www.wheelq.com</t>
  </si>
  <si>
    <t>Software,Enterprise Software,Real Time,SaaS,Enterprise,Commercial,Business Information Systems,Analytics,Consumer,Service Industry,Information Technology,Business Development,Information Services,Sales,Customer Service,B2B</t>
  </si>
  <si>
    <t>https://app.vainu.io/vainu/prospect/550719/</t>
  </si>
  <si>
    <t>TLS v1.0, Pinterest, SSL/TLS, Mysql, Google Site Verification, PHP, Html5, Linkedin, Website, Font awesome, Youtube, Intranet, animate.css, Facebook, Vimeo, Jquery, Youtube Embed, Google Plus, Javascript, _("Online_Store"), TLS v1.2, Google font api, jQuery Migrate, WordPress 5, Wordpress, _("Responsive"), Nginx, Contact Form 7 Wordpress Plugin, Wp rocket, Twitter, Modernizr, Form Html Element, Google analytics, Facebook pixel, Facebook Share Button Plugin, Gmail, Apache</t>
  </si>
  <si>
    <t>Wisenetwork Oy</t>
  </si>
  <si>
    <t>2480579-4</t>
  </si>
  <si>
    <t>Luotsinmäenpuistokatu 2</t>
  </si>
  <si>
    <t>https://wisenetwork.fi/fi-fi</t>
  </si>
  <si>
    <t>CRM,Software,Sales,SaaS</t>
  </si>
  <si>
    <t>https://app.vainu.io/vainu/prospect/539725/</t>
  </si>
  <si>
    <t>Cookiebot, Office365 email, SSL/TLS, Google Cloud Storage, Paytrail, Google Site Verification, Select2, PHP, jQuery UI 1.10, Linkedin, Hammer.js, Website, Google Cloud, Vimeo, Jquery, Microsoft exchange, Outlook, Lightbox, Google Plus, Jquery ui, Javascript, Tab Icon, Polyfill, TLS v1.2, SweetAlert, Google tag manager, Atlassian Domain Verification, _("Responsive"), Office 365, Slack, Bootstrap, Modernizr, Form Html Element, Uploadserver, Google analytics, Instagram, Facebook Share Button Plugin, Whatsapp Website Icon, Apache, Angularjs, Global Site Tag</t>
  </si>
  <si>
    <t>Wordfly Oy</t>
  </si>
  <si>
    <t>2780270-8</t>
  </si>
  <si>
    <t>Ruotutie 12 C</t>
  </si>
  <si>
    <t>wordfly.com</t>
  </si>
  <si>
    <t>Mobile,Developer APIs,Software,Enterprise Software,Real Time,Contact Management,SaaS,Video Chat,SMS,Email,Information Technology,Messaging</t>
  </si>
  <si>
    <t>https://app.vainu.io/vainu/prospect/93503862/</t>
  </si>
  <si>
    <t>Microsoft asp.net, SSL/TLS, Mysql, Google Site Verification, Google play, Force.com, PHP, Html5, Apache 2.4, Website, Font awesome, Facebook, Vimeo, Jquery, Zendesk Chat, Gravatar, Javascript, Tab Icon, Doubleclick, TLS v1.2, Google font api, Apple App Store, Wordpress, _("Responsive"), Slack, Microsoft IIS 10.0, Microsoft IIS, Twitter, Freshsales CRM, Cloudflare, Form Html Element, Google analytics, Blog, Apache, Ubuntu, Zendesk</t>
  </si>
  <si>
    <t>Zapflow Oy</t>
  </si>
  <si>
    <t>2689962-4</t>
  </si>
  <si>
    <t>Valkjärventie 7 B</t>
  </si>
  <si>
    <t>www.zapflow.com</t>
  </si>
  <si>
    <t>Finance,Venture Capital,Software,Financial Services,SaaS,Small and Medium Businesses,Commercial,FinTech,Hedge Funds,B2B</t>
  </si>
  <si>
    <t>https://app.vainu.io/vainu/prospect/1174620/</t>
  </si>
  <si>
    <t>Office365 email, OWL Carousel, Hubspot Forms, TLS v1.0, SSL/TLS, Amazon CloudFront, Google Site Verification, TLS v1.1, PHP, Linkedin, Website, Ecwid, Font awesome, Youtube, Tumblr, Hubspot CMS, Hubspot, Facebook, Vimeo, Jquery, Microsoft exchange, Outlook, Youtube Embed, Javascript, Tab Icon, Amazon web services, Duda, TLS v1.2, Google font api, Google tag manager, Google maps, Xhtml, React, Nginx, Office 365, Slack, _("Responsive"), Castle Accont Takeout Prevention, Twitter, Amazon SES, UNPKG, Form Html Element, Google analytics, Facebook Share Button Plugin, Whatsapp Website Icon, Hubspot Email, Spot.Im / Disgus, Intercom, GoToWebinar, Global Site Tag</t>
  </si>
  <si>
    <t>Zapps Oy</t>
  </si>
  <si>
    <t>2610595-1</t>
  </si>
  <si>
    <t>Rahkasammaleentie 9</t>
  </si>
  <si>
    <t>TUUSULA</t>
  </si>
  <si>
    <t>www.zapps.fi</t>
  </si>
  <si>
    <t>Software,SaaS,CRM,Sales,Sales Automation</t>
  </si>
  <si>
    <t>https://app.vainu.io/vainu/prospect/706680/</t>
  </si>
  <si>
    <t>Litespeed, TLS v1.0, Pinterest, SSL/TLS, Mysql, Google Site Verification, TLS v1.1, PHP, Html5, Linkedin, Website, Youtube, Facebook, Vimeo, Jquery, Zoho Crm, Youtube Embed, Yoast SEO, Javascript, Tab Icon, TLS v1.2, Google font api, Google tag manager, Wordpress, _("Responsive"), Contact Form 7 Wordpress Plugin, Twitter, Litespeed Cache, Form Html Element, Zoho Salesiq Chat, Google analytics, Facebook Share Button Plugin, Yoast SEO 16.9, wpBakery, Global Site Tag</t>
  </si>
  <si>
    <t>ZenTreasury Oy</t>
  </si>
  <si>
    <t>2762104-2</t>
  </si>
  <si>
    <t>www.zentreasury.com</t>
  </si>
  <si>
    <t>Accounting,Finance,Management Information Systems,Software,Financial Services,SaaS,Small and Medium Businesses,FinTech,Information Technology</t>
  </si>
  <si>
    <t>https://app.vainu.io/vainu/prospect/16230080/</t>
  </si>
  <si>
    <t>Office365 email, Hubspot Forms, SSL/TLS, Smartyads, Google Site Verification, TLS v1.1, PHP, Html5, Linkedin, Website, Hubspot CMS, Hubspot, Facebook, Vimeo, Jquery, Microsoft exchange, Outlook, Javascript, Tab Icon, TLS v1.2, Google font api, Google tag manager, _("Responsive"), Office 365, Slack, Mailgun, Twitter, Cloudflare, Form Html Element, Google analytics, Instagram, Facebook Share Button Plugin, Leadfeeder, GoToWebinar</t>
  </si>
  <si>
    <t>Zero Keyboard Oy</t>
  </si>
  <si>
    <t>2575183-9</t>
  </si>
  <si>
    <t>Bertha Pauligin katu 4 A 6</t>
  </si>
  <si>
    <t>https://zerokeyboard.com/</t>
  </si>
  <si>
    <t>Mobile,Software,iOS,SaaS,Commercial,CRM,Information Technology,Android,Sales,Sales Automation,B2B</t>
  </si>
  <si>
    <t>https://app.vainu.io/vainu/prospect/699087/</t>
  </si>
  <si>
    <t>Clipboard.js, American Express, TLS v1.0, SSL/TLS, Mysql, Google Site Verification, Google play, TLS v1.1, PHP, Html5, Linkedin, Website, Intranet, lodash, Facebook, Salesforce, Jquery, Vimeo, Elementor, Flickr, Javascript, Recaptcha, Tab Icon, iubenda, _("Online_Store"), TLS v1.2, Salesforce Lightning Platform, Visa, WordPress 5.7, MasterCard, jQuery Migrate, Apple App Store, Wordpress, WordPress 5, Google tag manager, Nginx, React, Slack, _("Responsive"), Apple Pay, Castle Accont Takeout Prevention, Twitter, Intercom Articles, Cloudflare, Form Html Element, Google analytics, Blog, Gmail, Sendgrid, Intercom, Heroku, Angularjs, Global Site Tag</t>
  </si>
  <si>
    <t>Zervant Oy</t>
  </si>
  <si>
    <t>2301956-4</t>
  </si>
  <si>
    <t>Keilaranta 17 C</t>
  </si>
  <si>
    <t>www.zervant.com/fi/</t>
  </si>
  <si>
    <t>Accounting,Management Information Systems,Software,Enterprise Software,Financial Services,SaaS,Small and Medium Businesses,Payments,Commercial,Billing,Consumer Software,B2B</t>
  </si>
  <si>
    <t>https://app.vainu.io/vainu/prospect/514788/</t>
  </si>
  <si>
    <t>Trustpilot, American Express, Finnish, Facebook Domain Verification, French, TLS v1.0, Vkontakte, SSL/TLS, Mysql, Google Site Verification, Google play, TLS v1.1, PHP, Html5, Linkedin, Website, Swedish, Highlight.js, Youtube, Tumblr, German, Facebook, LianaMailer, English, Vimeo, Jquery, Dutch, Zendesk Chat, Youtube Embed, Gravatar, Javascript, Tab Icon, Amazon web services, TLS v1.2, jsDelivr, Visa, Qzone, MasterCard, jQuery Migrate, Google tag manager, Wordpress, _("Responsive"), Nginx, Slack, Twitter, Bootstrap, Cloudflare, Form Html Element, Google analytics, Instagram, Facebook Share Button Plugin, Whatsapp Website Icon, Gmail, Sendgrid, TripAdvisor, Snapchat, Zendesk</t>
  </si>
  <si>
    <t>De, Fi, Sv, En, Nl, Fr</t>
  </si>
  <si>
    <t>Zoined Oy</t>
  </si>
  <si>
    <t>2440998-6</t>
  </si>
  <si>
    <t>zoined.com</t>
  </si>
  <si>
    <t>Real Time,Data Visualization,Predictive Analytics,Information Technology,Retail Technology,Big Data,Enterprise,Commercial,Business Development,Market Research,B2B,Enterprise Software,SaaS,Service Industry,Data Mining,Retail,Business Intelligence,Software,Professional Services,Analytics,Cloud Data Services,Cloud Infrastructure</t>
  </si>
  <si>
    <t>https://app.vainu.io/vainu/prospect/337973/</t>
  </si>
  <si>
    <t>Slick, Bootstrap 4.3, Finnish, TLS v1.0, SSL/TLS, Amazon CloudFront, Google Site Verification, TLS v1.1, Mailchimp, Html5, Linkedin, Website, Font awesome, Youtube, Google Optimize, English, Jquery, Mixpanel Analytics, Youtube Embed, Javascript, Recaptcha, Nginx 1.18, Tab Icon, Amazon web services, AmazonS, TLS v1.2, Google font api, Google tag manager, _("Responsive"), Nginx, Hotjar, New relic, Twitter, Bootstrap, Olark, Form Html Element, Google analytics, Blog, Gmail, SE, Ubuntu, Openresty, Global Site Tag</t>
  </si>
  <si>
    <t>eTaika Oy</t>
  </si>
  <si>
    <t>0973082-7</t>
  </si>
  <si>
    <t>Lentäjäntie 3</t>
  </si>
  <si>
    <t>www.etaika.fi</t>
  </si>
  <si>
    <t>Software,Education,SaaS,E-Learning,Corporate Training,Training</t>
  </si>
  <si>
    <t>https://app.vainu.io/vainu/prospect/151349/</t>
  </si>
  <si>
    <t>Loyalistic, Linkedin Analytics / Advertisement Pixel, TLS v1.0, SSL/TLS, Mysql, Crisp Chat, Paytrail, Google Site Verification, Openssl, TLS v1.1, PHP, Html5, Linkedin, Apache 2.4, Website, Youtube, Microsoft exchange, Jquery, Outlook, Youtube Embed, Gravatar, Javascript, Tab Icon, Linkedin Insight Tag, Linkedin Data Partner, jQuery Migrate, Wordpress, _("Responsive"), Contact Form 7 Wordpress Plugin, Office 365, Twitter, Bootstrap, Form Html Element, Google analytics, OpenSSL 1.1, Gmail, Apache, Leadfeeder</t>
  </si>
  <si>
    <t>finadeck Oy</t>
  </si>
  <si>
    <t>2909157-5</t>
  </si>
  <si>
    <t>Kauppakatu 69 C 42</t>
  </si>
  <si>
    <t>www.finadeck.fi</t>
  </si>
  <si>
    <t>Accounting,Management Information Systems,Finance,Software,Financial Services,SaaS,Small and Medium Businesses,FinTech,Information Technology</t>
  </si>
  <si>
    <t>https://app.vainu.io/vainu/prospect/1016551667/</t>
  </si>
  <si>
    <t>Office365 email, Active Campaign, Finnish, SSL/TLS, Mysql, PHP, Website, Swedish, Weglot, Facebook, Ubuntu, English, Vimeo, Jquery, Nginx 1.10, Revslider, Outlook, Microsoft exchange, Lightbox, Youtube Embed, Gravatar, Yoast SEO, Javascript, Tab Icon, Yoast SEO 15.7, TLS v1.2, jsDelivr, Google font api, jQuery Migrate, Google tag manager, WordPress 5, Wordpress, Revslider 6.2, _("Responsive"), Nginx, Contact Form 7 Wordpress Plugin, Slack, Leadoo, Nginx 1.14, UNPKG, Bootstrap, Modernizr, Form Html Element, Google analytics, Facebook pixel, Leadfeeder, Choices, Global Site Tag</t>
  </si>
  <si>
    <t>giosg.com Oy</t>
  </si>
  <si>
    <t>2388009-8</t>
  </si>
  <si>
    <t>Valimotie 21</t>
  </si>
  <si>
    <t>www.giosg.com</t>
  </si>
  <si>
    <t>Machine Learning,Information Technology,Sales,Sales Automation,Product Search,Commercial,Customer Engagement,Natural Language Processing,B2C,Artificial Intelligence,Customer Service,B2B,Marketing,SaaS,E-Commerce,Social CRM,CRM,Messaging,Marketing Automation,Software,Lead Generation,Virtual Assistant</t>
  </si>
  <si>
    <t>https://app.vainu.io/vainu/prospect/526046/</t>
  </si>
  <si>
    <t>Google Shopping, Google adwords, section.io, Paperform, Finnish, Facebook Domain Verification, Hubspot Forms, TLS v1.0, SSL/TLS, Stimulus, Amazon CloudFront, Openlayers, Ruby on rails, Google Site Verification, TLS v1.1, Help Scout, Mailchimp, Teamtailor, Html5, PHP, Linkedin, Fastly, Swedish, Github.com, Website, Youtube, Hubspot CMS, Hubspot, Facebook, Google remarketing, Vimeo, Jquery, AMP, Ruby, Varnish, Linkedin Sign-in, Youtube Embed, Giosg, Ziggeo, Tab Icon, Javascript, Amazon web services, _("Online_Store"), Doubleclick, Google Ads Conversion Tracking, Google font api, TLS v1.2, GitHub Pages, Hubspot Marketing Hub, Google tag manager, Google maps, Atlassian Domain Verification, Rackcache, _("Responsive"), Nginx, Contact Form 7 Wordpress Plugin, Google Conversion, Twitter, HubSpot CMS Hub, Django, Bootstrap, Cloudflare, Form Html Element, Google analytics, Instagram, Facebook Share Button Plugin, Facebook Like Button Plugin, Blog, Sendgrid, Gmail, Heroku, GoToWebinar, Python, Fontfaceobserver, English</t>
  </si>
  <si>
    <t>ABSEC AS</t>
  </si>
  <si>
    <t>NO917533458</t>
  </si>
  <si>
    <t>Parkveien 39B</t>
  </si>
  <si>
    <t>OSLO</t>
  </si>
  <si>
    <t>Karl Johans gate 16</t>
  </si>
  <si>
    <t>absec.no</t>
  </si>
  <si>
    <t>Software,Information Technology,Risk Management,Network Security,Security,SaaS,Cyber Security</t>
  </si>
  <si>
    <t>https://app.vainu.io/vainu/prospect/62945620/</t>
  </si>
  <si>
    <t>PHP, Jquery, TLS v1.2, Google font api, Microsoft exchange, Vimeo, Underscore.js 1.13, Wordpress, Facebook, _("Responsive"), Mysql, jQuery Migrate, Form Html Element, Javascript, SSL/TLS, WordPress 5.8, Nginx 1.20, Wordpress super cache, Website, Office 365, Flickr, Nginx, Outlook, WordPress 5, Underscore.js, Office365 email</t>
  </si>
  <si>
    <t>Nb, En, No</t>
  </si>
  <si>
    <t>ADMINCONTROL AS</t>
  </si>
  <si>
    <t>NO987992883</t>
  </si>
  <si>
    <t>Lille Grensen 7</t>
  </si>
  <si>
    <t>admincontrol.com</t>
  </si>
  <si>
    <t>Document Management,Software,Information Technology,Enterprise,Contract Management,Business Information Systems,Management Information Systems,SaaS,Financial Services</t>
  </si>
  <si>
    <t>https://app.vainu.io/vainu/prospect/1772374/</t>
  </si>
  <si>
    <t>PHP, Twitter, Google tag manager, Finnish, Danish, Jquery, Tab Icon, TLS v1.2, Mailchimp, AmazonS, Microsoft exchange, Vimeo, Youtube Embed, Gravatar, Wordpress, Facebook, Dutch, TLS problem, TLS v1.1, Salesforce marketing cloud, Pardot, lodash, Cloudflare, Giosg, Mysql, Linkedin, Youtube, Amazon CloudFront, jQuery Migrate, _("Responsive"), Site Kit 1.29, Facebook Share Button Plugin, Norwegian, Html5, CloudFront, Form Html Element, Javascript, Gravity Forms, SSL/TLS, Cookielaw, Office 365, Website, TLS v1.0, Swedish, Blog, Outlook, Salesforce, English, OneTrust, MailJet, Site Kit, Amazon web services, MasterCard, Office365 email, Recaptcha, Optanon Cookie Consent</t>
  </si>
  <si>
    <t>Sv, Fi, Nb, Nl, Da, En, No</t>
  </si>
  <si>
    <t>ADREGA AS</t>
  </si>
  <si>
    <t>NO986276475</t>
  </si>
  <si>
    <t>Aslakveien 14E</t>
  </si>
  <si>
    <t>adrega.com</t>
  </si>
  <si>
    <t>Software,Project Management,Task Management,Productivity Tools,Management Information Systems,Information Technology,SaaS</t>
  </si>
  <si>
    <t>https://app.vainu.io/vainu/prospect/1772603/</t>
  </si>
  <si>
    <t>Website, Apache 2.4, PHP, Html5, Form Html Element, Ubuntu, Javascript, Jquery, Tab Icon, Apache, Youtube, _("Responsive"), Google analytics, Linkedin, Bootstrap</t>
  </si>
  <si>
    <t>ADSTATE AS</t>
  </si>
  <si>
    <t>NO980527395</t>
  </si>
  <si>
    <t>Storgata 2</t>
  </si>
  <si>
    <t>SANDEFJORD</t>
  </si>
  <si>
    <t>http://adstate.com/?lang=nb</t>
  </si>
  <si>
    <t>B2C,Local Business,E-Commerce,Local,Service Industry,Subscription Service,Product Search,Internet,Consumer Applications,Marketing,Religion,Web Browsers,Consumer Software,Online Portals,Contact Management,Consumer,Online Forums,Private Social Networking</t>
  </si>
  <si>
    <t>https://app.vainu.io/vainu/prospect/1772841/</t>
  </si>
  <si>
    <t>Hubspot Customer Feedback, PHP, Twitter, Google tag manager, Hubspot CMS, Danish, Jquery, Tab Icon, TLS v1.2, Hubspot Forms, Google font api, GoToWebinar, Microsoft exchange, Vimeo, Hotjar, Youtube Embed, Facebook, Dutch, Linkedin Sign-in, Slack, TLS v1.1, AMP, Mailgun, Cloudflare, Youtube, _("Responsive"), Google analytics, Linkedin, Amazon CloudFront, Norwegian, Google Site Verification, Html5, Hubspot Marketing Hub, Form Html Element, Javascript, SSL/TLS, animate.css, HubSpot CMS Hub, Website, Swedish, TLS v1.0, Flickr, Blog, Outlook, English, Instagram, Amazon web services, Hubspot</t>
  </si>
  <si>
    <t>Sv, Sk, nn, Nl, Da, En, No</t>
  </si>
  <si>
    <t>AGILIS AS</t>
  </si>
  <si>
    <t>NO990003327</t>
  </si>
  <si>
    <t>Gjerdrums vei 11</t>
  </si>
  <si>
    <t>http://agilis.no</t>
  </si>
  <si>
    <t>IT Infrastructure,Open Source,Software,Project Management,Information Technology,IaaS,PaaS,SaaS</t>
  </si>
  <si>
    <t>https://app.vainu.io/vainu/prospect/1777194/</t>
  </si>
  <si>
    <t>Pepyaka 1.19, Wix, Atlassian Domain Verification, Tab Icon, TLS v1.2, Microsoft exchange, Facebook, Pepyaka, TLS v1.1, React, lodash, _("Responsive"), Linkedin, Bootstrap, Google Site Verification, Form Html Element, Javascript, SSL/TLS, Website, Office 365, TLS v1.0, Whatsapp Website Icon, Outlook, Office365 email</t>
  </si>
  <si>
    <t>AIMBITY AS</t>
  </si>
  <si>
    <t>NO920940447</t>
  </si>
  <si>
    <t>Vinkelveien 8</t>
  </si>
  <si>
    <t>https://monefy.me/</t>
  </si>
  <si>
    <t>FinTech,Apps,Mobile,Software,Personal Finance,Mobile Apps,Financial Services,Finance</t>
  </si>
  <si>
    <t>https://app.vainu.io/vainu/prospect/1100297150/</t>
  </si>
  <si>
    <t>Dropbox, PHP, Jquery, TLS v1.2, Google font api, Wordpress, Facebook, Monsterinsights, TLS v1.1, Font awesome, Force.com, Apache, _("Responsive"), Mysql, Google analytics, Pinterest, Bootstrap, Scorecard Research, Bootstrap 4.3, Modernizr, Javascript, SSL/TLS, WordPress 5.4, Website, TLS v1.0, Comscore, Apple App Store, Google play</t>
  </si>
  <si>
    <t>ALERTI AS</t>
  </si>
  <si>
    <t>NO999287913</t>
  </si>
  <si>
    <t>Bestemorstien 6</t>
  </si>
  <si>
    <t>alerti.com</t>
  </si>
  <si>
    <t>Internet,Content Discovery,Software,Analytics,Social Media,Reputation,SaaS,Semantic Web</t>
  </si>
  <si>
    <t>https://app.vainu.io/vainu/prospect/1783678/</t>
  </si>
  <si>
    <t>Heroku, PHP, Wordpress 4, Twitter, Doubleclick, Contact Form 7 Wordpress Plugin, Google tag manager, Cookie Consent By Insites, Jquery, Tab Icon, TLS v1.2, Spanish, Mailchimp, AmazonS, Google maps, Google font api, Vimeo, Youtube Embed, Zendesk Chat, French, Wordpress, Facebook, Osano, GlobalSign, particles.js, AMP, Facebook pixel, Force.com, Mailgun, Cloudflare, Youtube, Mysql, Google analytics, Linkedin, jQuery Migrate, Amazon CloudFront, Global Site Tag, _("Responsive"), Wordpress 4.9, Facebook Share Button Plugin, Google Site Verification, Html5, Intercom, Zendesk, Angularjs, Form Html Element, Javascript, Smartyads, SSL/TLS, Google Plus, Wordpress super cache, Website, TLS v1.0, Rackcache, Whatsapp Website Icon, Blog, MaxMind, Gmail, Yoast SEO, English, Apple App Store, Instagram, Yoast SEO 9.2, Amazon web services, Google play, Ruby, New relic</t>
  </si>
  <si>
    <t>Es, En, Fr</t>
  </si>
  <si>
    <t>APPFARM AS</t>
  </si>
  <si>
    <t>NO919697199</t>
  </si>
  <si>
    <t>Universitetsgata 2</t>
  </si>
  <si>
    <t>www.appfarm.io</t>
  </si>
  <si>
    <t>Apps,Consumer Applications,Web Development,Mobile,Software,SaaS,iOS,Web Apps,Consumer Software,Developer Tools,API,Mobile Apps,Developer Platform,Information Technology,Enterprise Software,Enterprise Applications</t>
  </si>
  <si>
    <t>https://app.vainu.io/vainu/prospect/678909501/</t>
  </si>
  <si>
    <t>Google tag manager, Atlassian Domain Verification, Jquery, Tab Icon, Varnish, TLS v1.2, Webpack, Vimeo, Facebook, Gatsby 2.23, Openresty, TLS v1.1, Ghost 3.42, React, Slack, AMP, _("Responsive"), Google analytics, Linkedin, Ghost, Global Site Tag, Google Site Verification, Gatsby, Javascript, SSL/TLS, Node.js, Google Cloud, Office 365, Website, TLS v1.0, Blog, Nginx, Gmail, Freshsales CRM</t>
  </si>
  <si>
    <t>APPSCO AS</t>
  </si>
  <si>
    <t>NO911900432</t>
  </si>
  <si>
    <t>Hannestadfjellet 45</t>
  </si>
  <si>
    <t>YVEN</t>
  </si>
  <si>
    <t>www.appsco.com</t>
  </si>
  <si>
    <t>Software,Information Technology,Virtual Workforce,Enterprise,Enterprise Applications,Productivity Tools,Management Information Systems,SaaS,Enterprise Software,Human Resources</t>
  </si>
  <si>
    <t>https://app.vainu.io/vainu/prospect/2150916/</t>
  </si>
  <si>
    <t>PHP, Twitter, Google Sign-in, Google tag manager, Google play, Jquery, Tab Icon, TLS v1.2, Mailchimp, Google font api, Apache 2.4, Gravatar, Zendesk Chat, Wordpress, Facebook, Ziprecruiter, Semantic UI, TLS v1.1, Font awesome, Debian, American Express, Apache, Intranet, Mysql, Cloudflare, Google analytics, Linkedin, Global Site Tag, jQuery Migrate, Bootstrap, Facebook Share Button Plugin, Google Site Verification, Html5, Zendesk, Yoast SEO 17.0, Form Html Element, Norwegian, Javascript, SSL/TLS, Pinterest, Leadfeeder, Office 365, TLS v1.0, Website, Blog, Gmail, WordPress 5, Yoast SEO, English, wpBakery, Instagram, MasterCard, _("Responsive")</t>
  </si>
  <si>
    <t>APPXITE AS</t>
  </si>
  <si>
    <t>NO820437802</t>
  </si>
  <si>
    <t>Haakon VIIs gate 6</t>
  </si>
  <si>
    <t>appxite.com</t>
  </si>
  <si>
    <t>B2C,E-Commerce,Software,Cloud Computing,Information Technology,API,PaaS,Small and Medium Businesses,SaaS,B2B,Enterprise Software</t>
  </si>
  <si>
    <t>https://app.vainu.io/vainu/prospect/926847484/</t>
  </si>
  <si>
    <t>PHP, Twitter, Google tag manager, Hubspot CMS, Jquery, Tab Icon, Vidyard, TLS v1.2, Hubspot Forms, Google font api, GoToWebinar, Linkedin Analytics / Advertisement Pixel, Vimeo, Microsoft exchange, Youtube Embed, Hotjar, Gravatar, Linkedin Data Partner, Zendesk Chat, Facebook, Linkedin Sign-in, GlobalSign, Semantic UI, Slack, AMP, Facebook pixel, Font awesome, Cloudflare, Vue.js, Intranet, Google analytics, Linkedin, Youtube, Amazon CloudFront, Global Site Tag, _("Responsive"), Pinterest, Facebook Share Button Plugin, Slick 1.9, Zendesk, Hubspot Marketing Hub, Form Html Element, jsDelivr, Javascript, SSL/TLS, Google Plus, Slick, HubSpot CMS Hub, Website, Outlook, Instagram, Elfsight, Amazon web services, Linkedin Insight Tag, Office365 email, Hubspot</t>
  </si>
  <si>
    <t>ARDOQ AS</t>
  </si>
  <si>
    <t>NO912017818</t>
  </si>
  <si>
    <t>Postboks 1062 Sentrum</t>
  </si>
  <si>
    <t>www.ardoq.com</t>
  </si>
  <si>
    <t>Software,Collaboration,Project Management,Analytics,Enterprise,Product Management,Virtual Workforce,API,Productivity Tools,Management Information Systems,Real Time,Information Technology,Application Performance Management,Enterprise Software,SaaS</t>
  </si>
  <si>
    <t>https://app.vainu.io/vainu/prospect/2046181/</t>
  </si>
  <si>
    <t>Heroku, Segment, PHP, Twitter, section.io, Stimulus, Google tag manager, Hubspot CMS, Fontfaceobserver, Atlassian Domain Verification, Jquery, Tab Icon, Vidyard, Varnish, TLS v1.2, Hubspot Email, Facebook Like Button Plugin, Hubspot Forms, Google maps, Google font api, GoToWebinar, Vimeo, Youtube Embed, Facebook, Linkedin Sign-in, Oracle marketing cloud, TLS v1.1, React, Ziggeo, Font awesome, Cloudflare, _("Responsive"), Google analytics, Linkedin, Amazon CloudFront, Global Site Tag, Bootstrap, Facebook Share Button Plugin, Google Site Verification, Intercom, Ruby, Hubspot Marketing Hub, Form Html Element, iubenda, Javascript, Teamtailor, SSL/TLS, HubSpot CMS Hub, Office 365, Website, TLS v1.0, Rackcache, Typeform, Gmail, Amazon SES, Intercom Articles, Instagram, Amazon web services, Hubspot, Bootstrap 4.0</t>
  </si>
  <si>
    <t>AREO AS</t>
  </si>
  <si>
    <t>NO997066669</t>
  </si>
  <si>
    <t>Gaustadalléen 21</t>
  </si>
  <si>
    <t>areo.io</t>
  </si>
  <si>
    <t>Green Building,Smart Cities,Construction,Internet of Things,Software,Infrastructure,GIS,Operating Systems,Facility Management,Management Information Systems,Real Time,Information Technology,Smart Building,SaaS</t>
  </si>
  <si>
    <t>https://app.vainu.io/vainu/prospect/2431658/</t>
  </si>
  <si>
    <t>PHP, Twitter, Albacross Analytics, Google tag manager, Jquery, Tab Icon, Varnish, TLS v1.2, Mailchimp, Google maps, Google font api, SlideShare, Vimeo, Hotjar, Youtube Embed, Gravatar, Wordpress, Sumo, Facebook, Openresty, TLS v1.1, Ghost 3.42, AMP, _("Responsive"), Youtube, Mysql, Extranet, Linkedin, Ghost, Facebook Share Button Plugin, Google Site Verification, Form Html Element, Javascript, Site Kit 1.33, SSL/TLS, Node.js, Google Plus, Sumome, Website, TLS v1.0, Blog, Nginx, Gmail, WordPress 5, Site Kit, Elementor</t>
  </si>
  <si>
    <t>ASSETFRONT AS</t>
  </si>
  <si>
    <t>NO926028022</t>
  </si>
  <si>
    <t>Akersbakken 12</t>
  </si>
  <si>
    <t>assetfront.com</t>
  </si>
  <si>
    <t>Software,Information Technology,Enterprise,SaaS,B2B</t>
  </si>
  <si>
    <t>https://app.vainu.io/vainu/prospect/2277281240/</t>
  </si>
  <si>
    <t>Squarespace, Google tag manager, Tab Icon, TLS v1.2, Bootstrap 4.4, AmazonS, Google font api, Vimeo, Adobe Typekit, Facebook, TLS v1.1, Font awesome, _("Responsive"), Google analytics, Amazon CloudFront, Global Site Tag, Bootstrap, Google Site Verification, Html5, Afterpay, Javascript, SSL/TLS, Website, TLS v1.0, Xhtml, Gmail, Amazon web services</t>
  </si>
  <si>
    <t>ATBROX AS</t>
  </si>
  <si>
    <t>NO987351543</t>
  </si>
  <si>
    <t>Postboks 9046 Rosenborg</t>
  </si>
  <si>
    <t>TRONDHEIM</t>
  </si>
  <si>
    <t>http://atbrox.com/</t>
  </si>
  <si>
    <t>Internet of Things,Machine Learning,Software,Artificial Intelligence,Information Technology</t>
  </si>
  <si>
    <t>https://app.vainu.io/vainu/prospect/2762164/</t>
  </si>
  <si>
    <t>PHP, Wordpress 4, Twitter, SyntaxHighlighter, Github.com, Varnish, Facebook Like Button Plugin, Wordpress 4.7, SlideShare, Apache 2.4, Ruby on rails, Gravatar, Wordpress, Facebook, Apache, American Express, Intranet, Mysql, Google analytics, Linkedin, Ubuntu, _("Responsive"), Html5, Fastly, Form Html Element, Javascript, Tumblr, Website, GitHub Pages, Blog, Xhtml, Gmail, Visa, Ruby</t>
  </si>
  <si>
    <t>AUTOGEAR AS</t>
  </si>
  <si>
    <t>NO987898291</t>
  </si>
  <si>
    <t>c/o ECIT AS Martin Linges vei 25</t>
  </si>
  <si>
    <t>FORNEBU</t>
  </si>
  <si>
    <t>www.autogear.no</t>
  </si>
  <si>
    <t>Software,SaaS,Web Apps</t>
  </si>
  <si>
    <t>https://app.vainu.io/vainu/prospect/2580774/</t>
  </si>
  <si>
    <t>PHP, Twitter, Typekit, Google tag manager, Hubspot CMS, Jquery, Tab Icon, Vidyard, Vkontakte, Microsoft IIS, TLS v1.2, Hubspot Forms, Google font api, GoToWebinar, Vimeo, Youtube Embed, Zendesk Chat, Taboola, Wordpress, Adobe Typekit, Facebook, Linkedin Sign-in, AMP, TLS v1.1, Facebook pixel, Font awesome, Cloudflare, Youtube, _("Responsive"), Google analytics, Linkedin, Microsoft asp.net, Bootstrap, Wistia, Google Site Verification, Zendesk, Html5, Microsoft ASP.NET 4.0, Hubspot Marketing Hub, Form Html Element, Modernizr, Javascript, SSL/TLS, Google Plus, Facebook Comments Plugin, Tumblr, HubSpot CMS Hub, Website, Addthis, TLS v1.0, Blog, Gmail, Hubspot Rss Feed, Microsoft IIS 8.5, Qzone, Facebook Domain Verification, Hubspot, Bizsugar, OptinMonster</t>
  </si>
  <si>
    <t>En, No</t>
  </si>
  <si>
    <t>AVANTIO AS</t>
  </si>
  <si>
    <t>NO914396263</t>
  </si>
  <si>
    <t>Platåveien 2A</t>
  </si>
  <si>
    <t>avantio.com</t>
  </si>
  <si>
    <t>Property Management,Software,Information Technology,Travel,Real Estate,SaaS</t>
  </si>
  <si>
    <t>https://app.vainu.io/vainu/prospect/2746600/</t>
  </si>
  <si>
    <t>PHP, Twitter, Active Campaign, Contact Form 7 Wordpress Plugin, Yoast SEO 16.6, Google tag manager, Italian, Jquery, Tab Icon, Divi, Mailchimp, Spanish, Swiper Slider, Google font api, Linkedin Analytics / Advertisement Pixel, Yoast SEO 16.0, Vimeo, Hotjar, Youtube Embed, Gravatar, French, Wordpress, Linkedin Data Partner, Facebook, Monsterinsights, TLS v1.1, Facebook pixel, Font awesome, Facebook Page Plugin, _("Responsive"), Youtube, Intranet, Extranet, Google analytics, Linkedin, ActiveCampaign, jQuery Migrate, Global Site Tag, Mysql, Google Site Verification, Yoast SEO 14.9, Html5, Form Html Element, Contentful, Cision, Javascript, Criteo, German, SSL/TLS, WordPress 5.7, Divi 4.9, Website, TLS v1.0, Blog, Nginx, Xhtml, Divi 4.6, Flickr, Gmail, WordPress 5, Yoast SEO, English, OWL Carousel, Plesk, Visa, Facebook Domain Verification, Portuguese, Instagram, Linkedin Insight Tag, Amazon web services, MasterCard</t>
  </si>
  <si>
    <t>Pt, It, Fr, Es, En, De</t>
  </si>
  <si>
    <t>AVAYA NORWAY  AS</t>
  </si>
  <si>
    <t>NO990525676</t>
  </si>
  <si>
    <t>Dronning Eufemias gate 16</t>
  </si>
  <si>
    <t>avaya.com</t>
  </si>
  <si>
    <t>Customer Service,Customer Experience,Enterprise Software,Software,Information Technology,Enterprise,Virtual Workforce,Artificial Intelligence,SaaS,Call Center</t>
  </si>
  <si>
    <t>https://app.vainu.io/vainu/prospect/2746798/</t>
  </si>
  <si>
    <t>PHP, GSAP, Twitter, Doubleclick, Akamai Resource Optimizer, Google tag manager, Docusign, Font Awesome 5.0, Italian, Atlassian Domain Verification, Twitter Ads, Jquery, Google adwords, Tab Icon, Korean, Google adsense, jQuery 3.2, Tealium, Spanish, Google Conversion, Lightbox, Google remarketing, Linkedin Analytics / Advertisement Pixel, Microsoft exchange, French, Linkedin Data Partner, Wordpress, Facebook, jQuery 3.4, Oracle marketing cloud, jQuery UI 1.12, Font awesome, Force.com, Facebook pixel, Apache, Youtube, _("Responsive"), Google analytics, Linkedin, jQuery Migrate, Japanese, Bootstrap, jQuery 3.3, Google Site Verification, Html5, Angularjs, Form Html Element, Flurry / Yahoo Analytics, Javascript, Akamai, German, Cookielaw, Bootstrap 3.3, _("Online_Store"), Office 365, Website, Addthis, Font Awesome 4.7, Outlook, Qualtrics, Salesforce, Google Shopping, English, OneTrust, Portuguese, Instagram, Linkedin Insight Tag, Jquery ui, Chinese, SuccessFactors, Oracle Maxymiser, Optanon Cookie Consent</t>
  </si>
  <si>
    <t>Es, En, De</t>
  </si>
  <si>
    <t>AVEVA AS</t>
  </si>
  <si>
    <t>NO978611494</t>
  </si>
  <si>
    <t>c/o Golf Tower Kanalsletta 2</t>
  </si>
  <si>
    <t>STAVANGER</t>
  </si>
  <si>
    <t>http://www.aveva.com/</t>
  </si>
  <si>
    <t>Computer,Software,Infrastructure,Information Technology,Mining,Operating Systems,Life Science,Manufacturing,Management Information Systems,SaaS,Oil and Gas,Enterprise Software</t>
  </si>
  <si>
    <t>https://app.vainu.io/vainu/prospect/2747516/</t>
  </si>
  <si>
    <t>Doubleclick, Twitter, Russian, Workfront, Google tag manager, Atlassian Domain Verification, Jquery, Korean, Tab Icon, Spanish, Google font api, Linkedin Analytics / Advertisement Pixel, Microsoft exchange, Vimeo, Youtube Embed, Facebook, GlobalSign, Adobe media optimizer, Oracle, Cloudflare, Youtube, _("Responsive"), CloudFront, Linkedin, Japanese, Amazon CloudFront, Adobe Enterprise, Wistia, Google Site Verification, Html5, Livefyre, Form Html Element, Microsoft Word, Adobe Audience Manager, Javascript, German, Adobe Creative Cloud Assets, Euroland, Office 365, Website, Adobe Target, Addthis, Blog, Outlook, Drift Chat, Cxense, English, Adobe Experience Manager, Java, Adobe marketing cloud, Mimecast, Portuguese, Amazon web services, Chinese</t>
  </si>
  <si>
    <t>Pt, Ru, Ko, Ja, Es, En, De</t>
  </si>
  <si>
    <t>AYFIE AS</t>
  </si>
  <si>
    <t>NO981958608</t>
  </si>
  <si>
    <t>Karenslyst allé 10</t>
  </si>
  <si>
    <t>www.ayfie.com</t>
  </si>
  <si>
    <t>Health Care,Information Services,Machine Learning,Software,Media and Entertainment,Text Analytics,Compliance,Analytics,Artificial Intelligence,Business Intelligence,Big Data,Legal Tech,Ediscovery,Information Technology,Semantic Web,Legal</t>
  </si>
  <si>
    <t>https://app.vainu.io/vainu/prospect/17305084/</t>
  </si>
  <si>
    <t>PHP, Twitter, Stimulus, Google tag manager, Hubspot CMS, Atlassian Domain Verification, Go, Jquery, Tab Icon, TLS v1.2, Hubspot Forms, Google font api, GoToWebinar, Microsoft exchange, Vimeo, Youtube Embed, Adobe Typekit, Facebook, Linkedin Sign-in, TLS problem, TLS v1.1, Snowplow, Font awesome, Cloudflare, Youtube, Intranet, Google analytics, Linkedin, Hubspot, Amazon CloudFront, Ubuntu, _("Responsive"), Bootstrap, Google Site Verification, Html5, Hubspot Marketing Hub, Form Html Element, Javascript, SSL/TLS, Google Plus, Bootstrap 3.3, Nginx 1.18, HubSpot CMS Hub, Website, TLS v1.0, Blog, Nginx, Caddy, Moment.js, Outlook, Atlassian, Amazon web services, Jquery ui, Office365 email, Leaflet, Google adsense, Leadinfo</t>
  </si>
  <si>
    <t>BAIKINGU AS</t>
  </si>
  <si>
    <t>NO916034253</t>
  </si>
  <si>
    <t>Steinsfjellet 56</t>
  </si>
  <si>
    <t>HAUGESUND</t>
  </si>
  <si>
    <t>baikingu.com</t>
  </si>
  <si>
    <t>E-Commerce,Product Search,Software,Information Technology,Retail Technology,Point of Sale,Retail,SaaS</t>
  </si>
  <si>
    <t>https://app.vainu.io/vainu/prospect/2461144/</t>
  </si>
  <si>
    <t>PHP, Jquery, TLS v1.2, Lightbox, AmazonS, Vimeo, Youtube Embed, Slack, TLS v1.1, _("Responsive"), jQuery Migrate, Amazon CloudFront, Bootstrap, Bootstrap 4.3, Form Html Element, Javascript, SSL/TLS, Slick, Slick 1.6, Website, TLS v1.0, Gmail, OWL Carousel, Popper, Popper 1.14, Amazon web services</t>
  </si>
  <si>
    <t>BEDRE BEDRIFT AS</t>
  </si>
  <si>
    <t>NO921119224</t>
  </si>
  <si>
    <t>PB61</t>
  </si>
  <si>
    <t>OPPEGÅRD</t>
  </si>
  <si>
    <t>bedrebedrift.no</t>
  </si>
  <si>
    <t>Privacy,Software,SaaS</t>
  </si>
  <si>
    <t>https://app.vainu.io/vainu/prospect/1150664314/</t>
  </si>
  <si>
    <t>Heroku, PHP, Twitter, Active Campaign, FastMail, Spot.Im / Disgus, Jquery, Flash, Tab Icon, TLS v1.2, Google font api, Vimeo, ConvertKit, Paypal, Wordpress, Facebook, Slack, TLS v1.1, Font awesome, Cloudflare, Kajabi, Stripe Online Payments, _("Responsive"), Linkedin, Pinterest, Bootstrap, Wistia, Facebook Share Button Plugin, Google Site Verification, Html5, Form Html Element, Javascript, SSL/TLS, Braze / Appboy, Slick, Slick 1.6, _("Online_Store"), Website, TLS v1.0, Blog, Stripe, Bootstrap 4.0</t>
  </si>
  <si>
    <t>En, No, nn</t>
  </si>
  <si>
    <t>BITPRO AS</t>
  </si>
  <si>
    <t>NO986643583</t>
  </si>
  <si>
    <t>Østre Strandgate 80</t>
  </si>
  <si>
    <t>KRISTIANSAND S</t>
  </si>
  <si>
    <t>http://www.bitpro.no/</t>
  </si>
  <si>
    <t>Telecommunications,Information Technology,Internet</t>
  </si>
  <si>
    <t>https://app.vainu.io/vainu/prospect/2256554/</t>
  </si>
  <si>
    <t>PHP, Twitter, Google tag manager, Gravity Forms 2.5, Jquery, Tab Icon, TLS v1.2, Vimeo, Gravatar, Wordpress, Facebook, GlobalSign, TLS v1.1, Cloudflare, _("Responsive"), Mysql, Pinterest, jQuery Migrate, Facebook Share Button Plugin, Google Site Verification, Form Html Element, Javascript, Gravity Forms, SSL/TLS, WordPress 5.8, Office 365, Website, TLS v1.0, Nginx, Outlook, WordPress 5, Yoast SEO, Yoast SEO 17.1, Apple App Store, Facebook Domain Verification, Google play, Office365 email</t>
  </si>
  <si>
    <t>Nb, No</t>
  </si>
  <si>
    <t>BLUESTONE AS</t>
  </si>
  <si>
    <t>NO982017440</t>
  </si>
  <si>
    <t>Postboks 2198</t>
  </si>
  <si>
    <t>TØNSBERG</t>
  </si>
  <si>
    <t>https://bluestonepim.com/</t>
  </si>
  <si>
    <t>B2C,E-Commerce,Internet,Product Search,E-Commerce Platforms,Software,Information Technology,Product Management,SaaS,B2B,Enterprise Software</t>
  </si>
  <si>
    <t>https://app.vainu.io/vainu/prospect/2123581/</t>
  </si>
  <si>
    <t>Google tag manager, Atlassian Domain Verification, Jquery, Tab Icon, TLS v1.2, Mailchimp, Google font api, Linkedin Analytics / Advertisement Pixel, Linkedin Data Partner, Facebook, TLS v1.1, Facebook pixel, _("Responsive"), Google analytics, Linkedin, Amazon CloudFront, Google Site Verification, Form Html Element, Google Optimize, Javascript, SSL/TLS, Node.js, Google Plus, Express, Website, TLS v1.0, Blog, Gmail, Salesforce, Linkedin Insight Tag, Amazon web services, Recaptcha</t>
  </si>
  <si>
    <t>BOOST AI AS</t>
  </si>
  <si>
    <t>NO917362394</t>
  </si>
  <si>
    <t>Grenseveien 21</t>
  </si>
  <si>
    <t>SANDNES</t>
  </si>
  <si>
    <t>http://boost.ai/</t>
  </si>
  <si>
    <t>Virtual Assistant,Machine Learning,Software,Intelligent Systems,Analytics,Artificial Intelligence,Natural Language Processing,API,Information Technology,Big Data</t>
  </si>
  <si>
    <t>https://app.vainu.io/vainu/prospect/38228259/</t>
  </si>
  <si>
    <t>Twitter, Google tag manager, Hubspot CMS, Google play, Jquery, Varnish, TLS v1.2, Hubspot Email, Hubspot Forms, Google maps, Google font api, GoToWebinar, SlideShare, Vimeo, Youtube Embed, Wordpress, Adobe Typekit, Facebook, Boost.Ai, Openresty, _("Responsive"), Youtube, Intranet, Linkedin, Wistia, Google Site Verification, Form Html Element, Javascript, SSL/TLS, Webflow, Smooch Conversation Platform, Comm100 Live Chat, Website, Embed.Ly, Nginx, Gmail, Salesforce, Instagram, Edialog24, Amazon web services, MasterCard, ReachMee, Hubspot</t>
  </si>
  <si>
    <t>BRANDMASTER AS</t>
  </si>
  <si>
    <t>NO979489137</t>
  </si>
  <si>
    <t>http://www.brandmaster.com/</t>
  </si>
  <si>
    <t>B2C,Advertising,Software,Marketing,Brand Marketing,Digital Marketing,SaaS,B2B</t>
  </si>
  <si>
    <t>https://app.vainu.io/vainu/prospect/2547372/</t>
  </si>
  <si>
    <t>PHP, Twitter, Google tag manager, Hubspot CMS, Sendgrid, Atlassian Domain Verification, Jquery, Tab Icon, TLS v1.2, Hubspot Email, Microsoft exchange, Hotjar, Youtube Embed, Wordpress, Facebook, Linkedin Sign-in, Slack, TLS v1.1, AMP, Apache, Cloudflare, Mysql, Youtube, Linkedin, _("Responsive"), Amazon CloudFront, Norwegian, Wistia, Google Site Verification, LogMeIn, Html5, Zendesk, Hubspot Marketing Hub, Form Html Element, Hubspot Live Chat, Javascript, German, SSL/TLS, Wordpress super cache, HubSpot CMS Hub, Website, Swedish, TLS v1.0, Blog, Google PageSpeed 1.13, Outlook, English, Amazon SES, Google pagespeed, Amazon web services, Hubspot</t>
  </si>
  <si>
    <t>En, No, De</t>
  </si>
  <si>
    <t>BRIGHTARCH AS</t>
  </si>
  <si>
    <t>NO995133571</t>
  </si>
  <si>
    <t>Gudolf Blakstads vei 21</t>
  </si>
  <si>
    <t>VETTRE</t>
  </si>
  <si>
    <t>orgweaver.com</t>
  </si>
  <si>
    <t>Software,Information Technology,Virtual Workforce,Enterprise,Small and Medium Businesses,Business Information Systems,Management Information Systems,SaaS,B2B,Enterprise Software,Human Resources</t>
  </si>
  <si>
    <t>https://app.vainu.io/vainu/prospect/1818977/</t>
  </si>
  <si>
    <t>Dropbox, PHP, Flash video, Twitter, Google Sign-in, Google tag manager, Jquery, Flash, Tab Icon, Microsoft IIS, TLS v1.2, Google PageSpeed 1.9, Lightbox, Microsoft IIS 10.0, Google font api, Vimeo, Youtube Embed, Gravatar, WordPress 5.1, Wordpress, Facebook, Slack, Apache, Youtube, Intranet, Mysql, Google analytics, Linkedin, Microsoft asp.net, jQuery Migrate, _("Responsive"), Google Site Verification, Html5, Microsoft ASP.NET 4.0, Form Html Element, Javascript, SSL/TLS, Hubspot Analytics, Office 365, Website, Blog, Gmail, WordPress 5, Visa, Google pagespeed, Hubspot</t>
  </si>
  <si>
    <t>BURO VENTURES AS</t>
  </si>
  <si>
    <t>NO922401810</t>
  </si>
  <si>
    <t>H0501 c/o Harald Thorgersen Røine Thereses gate 32A</t>
  </si>
  <si>
    <t>buroventures.com</t>
  </si>
  <si>
    <t>Software,SaaS,B2B</t>
  </si>
  <si>
    <t>https://app.vainu.io/vainu/prospect/1571407246/</t>
  </si>
  <si>
    <t>Google font api, Active Campaign, Form Html Element, Facebook, Javascript, SSL/TLS, Slack, Facebook Domain Verification, TLS v1.1, Facebook pixel, Tab Icon, _("Responsive"), Website, TLS v1.0, Linkedin, Vercel</t>
  </si>
  <si>
    <t>BUSY TECHNOLOGIES AS</t>
  </si>
  <si>
    <t>NO914761719</t>
  </si>
  <si>
    <t>Hammerstads gate 46</t>
  </si>
  <si>
    <t>www.busy.no</t>
  </si>
  <si>
    <t>Apps,Internet,Software,Project Management,Information Technology,Task Management,Virtual Workforce,Enterprise,Consumer Software,Small and Medium Businesses,Productivity Tools,Management Information Systems,SaaS,Scheduling,Human Resources</t>
  </si>
  <si>
    <t>https://app.vainu.io/vainu/prospect/17272427/</t>
  </si>
  <si>
    <t>Segment, PHP, Twitter, Google app engine, Google tag manager, Jquery, Google adwords, Tab Icon, Varnish, TLS v1.2, Google maps, Youtube Embed, Adobe Typekit, Facebook, Openresty, React, Stripe Online Payments, Youtube, _("Responsive"), Google analytics, Linkedin, Google Frontend, Amazon CloudFront, Global Site Tag, Norwegian, Google Site Verification, Intercom, Form Html Element, Javascript, SSL/TLS, Node.js, Webflow, Express, Website, Embed.Ly, Nginx, Gmail, English, Google Firebase, Apple App Store, Amazon web services, Google play, Stripe, Recaptcha</t>
  </si>
  <si>
    <t>BUTTER METRICS AS</t>
  </si>
  <si>
    <t>NO920210155</t>
  </si>
  <si>
    <t>v/ Hallgeir Knutsen Motzfeldts gate 33B</t>
  </si>
  <si>
    <t>buttermetrics.com</t>
  </si>
  <si>
    <t>Software,SaaS,Information Technology,Analytics</t>
  </si>
  <si>
    <t>https://app.vainu.io/vainu/prospect/800405253/</t>
  </si>
  <si>
    <t>Tab Icon, TLS v1.2, Google font api, Facebook, Openresty, TLS v1.1, Snowplow, Slack, Facebook pixel, _("Responsive"), Lua, Html5, Form Html Element, Javascript, SSL/TLS, Node.js, Google Cloud, Website, TLS v1.0, Nginx, Gmail, Instapage</t>
  </si>
  <si>
    <t>BYGGLET AS</t>
  </si>
  <si>
    <t>NO915530699</t>
  </si>
  <si>
    <t>c/o Ekonomernas Hus Karl Johans gate 7</t>
  </si>
  <si>
    <t>www.bygglet.com</t>
  </si>
  <si>
    <t>https://app.vainu.io/vainu/prospect/2553301/</t>
  </si>
  <si>
    <t>Upsales Crm, PHP, Google tag manager, Cookie Consent By Insites, Atlassian Domain Verification, Jquery, Litespeed, Tab Icon, TLS v1.2, Google maps, Google font api, Youtube Embed, Ruby on rails, Gravatar, Wordpress, Adobe Typekit, Facebook, TLS v1.1, Azure Edge, Freshchat, Font awesome, _("Responsive"), Youtube, Mysql, Google analytics, Linkedin, jQuery Migrate, Bootstrap, Freshdesk Freshchat, Slick 1.9, Yoast SEO 17.0, Form Html Element, jsDelivr, Google Optimize, Javascript, Gravity Forms, Smartyads, SSL/TLS, Slick, Wordpress super cache, Sustainability Report, Leadfeeder, Website, TLS v1.0, GitHub Pages, MaxMind, Gmail, BidTheatre, Yoast SEO, UNPKG, Facebook Domain Verification, Instagram, Amazon web services, Google play, Ruby, Twitter typeahead.js</t>
  </si>
  <si>
    <t>CACHARGE AS</t>
  </si>
  <si>
    <t>NO922644470</t>
  </si>
  <si>
    <t>c/o Business Sweden Postboks 1681 Vika</t>
  </si>
  <si>
    <t>cacharge.com</t>
  </si>
  <si>
    <t>Sustainability,Internet of Things,Electric Vehicle,Energy Storage,Business Development,Energy,Clean Energy,CleanTech,Energy Efficiency,Power Grid,Renewable Energy,GreenTech,SaaS,Battery,Sales,Energy Management</t>
  </si>
  <si>
    <t>https://app.vainu.io/vainu/prospect/1637331046/</t>
  </si>
  <si>
    <t>PHP, Contact Form 7 Wordpress Plugin, Varnish 7.0, Google tag manager, Sendgrid, Jquery, Tab Icon, Varnish, TLS v1.2, Google font api, Microsoft exchange, Vimeo, Youtube Embed, Wordpress, Facebook, Linkedin Sign-in, Slack, TLS v1.1, Facebook pixel, Apache, _("Responsive"), Mysql, Linkedin, jQuery Migrate, Google Site Verification, All in One SEO Pack, Modernizr, Form Html Element, Javascript, SSL/TLS, animate.css, Website, TLS v1.0, Outlook, WordPress 5, All in One SEO Pack 3.2, OWL Carousel, Instagram, Varnish 6.6, W3 total cache, Office365 email, Recaptcha</t>
  </si>
  <si>
    <t>Sv, Nb, En, No</t>
  </si>
  <si>
    <t>CAMPAIGN MONITOR PTY LTD</t>
  </si>
  <si>
    <t>NO993817481</t>
  </si>
  <si>
    <t>c/o BDO AS Furusethgata 10</t>
  </si>
  <si>
    <t>JESSHEIM</t>
  </si>
  <si>
    <t>campaignmonitor.com</t>
  </si>
  <si>
    <t>Marketing Automation,Advertising,Software,Marketing,Email,Email Marketing,SaaS</t>
  </si>
  <si>
    <t>https://app.vainu.io/vainu/prospect/10125959/</t>
  </si>
  <si>
    <t>Segment, PHP, Doubleclick, Twitter, gunicorn, WP Engine, Optimizely, Greenhouse, Google tag manager, Atlassian Domain Verification, Jquery, Google adwords, Tab Icon, TLS v1.2, Google remarketing, Bugcrowd, Google Conversion, Google font api, Linkedin Analytics / Advertisement Pixel, Vimeo, Taboola, Wordpress, Adroll, Facebook, TLS problem, AMP, TLS v1.1, Mailgun, Cloudflare, ZOOM, Mysql, Google analytics, Salesforce Web To Lead, Linkedin, Amazon CloudFront, Global Site Tag, Wistia, Crazy egg, Google Site Verification, LogMeIn, Html5, Modernizr, Form Html Element, Sailthru, jsDelivr, Javascript, SSL/TLS, Google Plus, Pinterest, Office 365, Website, TLS v1.0, CreateSend, Salesforce Lightning Platform, Blog, Mixpanel Analytics, Omniture, Marketo, Gmail, Salesforce, Workday, Google Shopping, ApexPages, Quantserve, Adnxs, Instagram, Amazon web services, Adobe Analytics, _("Responsive"), Algolia, Recaptcha</t>
  </si>
  <si>
    <t>CATENDA AS</t>
  </si>
  <si>
    <t>NO994023977</t>
  </si>
  <si>
    <t>Drammensveien 288</t>
  </si>
  <si>
    <t>www.catenda.no</t>
  </si>
  <si>
    <t>Construction,Software,Collaboration,Project Management,Enterprise,Virtual Workforce,Facility Management,Productivity Tools,Software Engineering,Management Information Systems,Information Technology,Facilities Management,Enterprise Software,SaaS</t>
  </si>
  <si>
    <t>https://app.vainu.io/vainu/prospect/1972035/</t>
  </si>
  <si>
    <t>PHP, Twitter, Craft CMS, Wix, Google tag manager, Hubspot CMS, Jquery, Hubspot Sales, Tab Icon, Facebook Like Button Plugin, TLS v1.2, Hubspot Meetings Plugin, Hubspot Forms, Google font api, GoToWebinar, Linkedin Analytics / Advertisement Pixel, Vimeo, Apache 2.4, Youtube Embed, French, Linkedin Data Partner, Wordpress, Facebook, Slack, TLS v1.1, Apache, Youtube, Ubuntu, _("Responsive"), Linkedin, Google Site Verification, Html5, Craft Commerce, Form Html Element, Javascript, SSL/TLS, Yii, Website, TLS v1.0, Xhtml, Gmail, English, Google Firebase, Linkedin Insight Tag, Amazon web services, Google play, Hubspot</t>
  </si>
  <si>
    <t>Pt, Fr, En, No, De</t>
  </si>
  <si>
    <t>CEGAL AS</t>
  </si>
  <si>
    <t>NO996221423</t>
  </si>
  <si>
    <t>Postboks 335</t>
  </si>
  <si>
    <t>https://www.cegal.com</t>
  </si>
  <si>
    <t>Software,Information Technology,Consulting,Management Information Systems,SaaS</t>
  </si>
  <si>
    <t>https://app.vainu.io/vainu/prospect/2510644/</t>
  </si>
  <si>
    <t>PHP, Twitter, Google tag manager, Hubspot CMS, Jquery, Tab Icon, TLS v1.2, Microsoft IIS, Mailchimp, Hubspot Forms, Google maps, Google font api, Microsoft exchange, Hotjar, Youtube Embed, Facebook, Linkedin Sign-in, GlobalSign, Font awesome, Cloudflare, Youtube, _("Responsive"), Google analytics, Linkedin, Microsoft asp.net, Bootstrap, Facebook Share Button Plugin, Google Site Verification, Html5, Zendesk, Microsoft ASP.NET 4.0, Form Html Element, Microsoft Word, Javascript, Teamtailor, SSL/TLS, HubSpot CMS Hub, Sustainability Report, Office 365, Website, Blog, Outlook, Microsoft IIS 8.5, Instagram, Office365 email, Hubspot</t>
  </si>
  <si>
    <t>Nb, En</t>
  </si>
  <si>
    <t>CEGAL GROUP AS</t>
  </si>
  <si>
    <t>NO996127044</t>
  </si>
  <si>
    <t>cegal.com</t>
  </si>
  <si>
    <t>https://app.vainu.io/vainu/prospect/2510650/</t>
  </si>
  <si>
    <t>PHP, Twitter, Google tag manager, Hubspot CMS, Jquery, Tab Icon, TLS v1.2, Microsoft IIS, Mailchimp, Hubspot Forms, Google maps, Google font api, Microsoft exchange, Hotjar, Youtube Embed, Facebook, Linkedin Sign-in, GlobalSign, AMP, Font awesome, Cloudflare, Youtube, _("Responsive"), Google analytics, Linkedin, Microsoft asp.net, Bootstrap, Facebook Share Button Plugin, Google Site Verification, Html5, Zendesk, Hubspot Marketing Hub, Form Html Element, Microsoft Word, Microsoft ASP.NET 4.0, Javascript, Teamtailor, SSL/TLS, HubSpot CMS Hub, Sustainability Report, Office 365, Website, Blog, Outlook, Microsoft IIS 8.5, Instagram, Office365 email, Hubspot</t>
  </si>
  <si>
    <t>CHANTY AS</t>
  </si>
  <si>
    <t>NO813582562</t>
  </si>
  <si>
    <t>Postboks 352</t>
  </si>
  <si>
    <t>LYSAKER</t>
  </si>
  <si>
    <t>chanty.com</t>
  </si>
  <si>
    <t>Video Chat,Software,Collaboration,SaaS,Messaging,Enterprise,Meeting Software,Virtual Workforce,Productivity Tools,Contact Management,Management Information Systems,Real Time,Information Technology,Application Performance Management,Enterprise Software,Task Management</t>
  </si>
  <si>
    <t>https://app.vainu.io/vainu/prospect/2255298/</t>
  </si>
  <si>
    <t>PHP, Userengage Chat, Twitter, Google tag manager, Sendgrid, Jquery, Tab Icon, Vkontakte, TLS v1.2, Swiper Slider, Google font api, Gravatar, Wordpress, Facebook, AMP, TLS v1.1, Font awesome, Mailgun, Apache, _("Responsive"), Mysql, Linkedin, Facebook Share Button Plugin, Google Site Verification, Html5, Form Html Element, Javascript, SSL/TLS, Google Plus, WordPress 5.7, Tumblr, Website, TLS v1.0, Blog, Gmail, WordPress 5, Amazon SES, Apple App Store, Amazon web services, Google play</t>
  </si>
  <si>
    <t>CHOOOSE AS</t>
  </si>
  <si>
    <t>NO979501765</t>
  </si>
  <si>
    <t>Parkveien 12</t>
  </si>
  <si>
    <t>chooose.today</t>
  </si>
  <si>
    <t>Sustainability,E-Commerce,Consumer Applications,Social Impact,CleanTech,Software,Information Technology,Consumer Software,GreenTech,Management Information Systems,SaaS</t>
  </si>
  <si>
    <t>https://app.vainu.io/vainu/prospect/1980137/</t>
  </si>
  <si>
    <t>All in One SEO Pack 2.9, Heroku, PHP, Twitter, Active Campaign, WP Engine, section.io, Microsoft HTTPAPI, Contact Form 7 Wordpress Plugin, Stimulus, Google tag manager, Sendgrid, Fontfaceobserver, Jquery, Tab Icon, Varnish, TLS v1.2, Facebook Like Button Plugin, Webpack, Lightbox, Google maps, Google font api, Vimeo, Youtube Embed, Gravatar, Wordpress, Adobe Typekit, Facebook, Windows-Azure-Web, React, Ziggeo, Font awesome, Facebook Page Plugin, Mailgun, Stripe Online Payments, ActiveCampaign, Mysql, Google analytics, Linkedin, Aurelia, Gatsby 2.24, jQuery Migrate, _("Responsive"), Pinterest, Facebook Share Button Plugin, Google Site Verification, Html5, Zendesk, All in One SEO Pack, Form Html Element, Gatsby, Javascript, Teamtailor, SSL/TLS, Google Plus, Gatsby 2.15, Office 365, Website, TLS v1.0, Windows-Azure-Web 1.0, Rackcache, Nginx, Microsoft HTTPAPI 2.0, Gmail, Microsoft-Httpapi 2.0, wpBakery, Instagram, Stripe, Ruby, Microsoft-HTTPAPI</t>
  </si>
  <si>
    <t>CICERO CONSULTING AS</t>
  </si>
  <si>
    <t>NO954492109</t>
  </si>
  <si>
    <t>Postboks 4814 Nydalen</t>
  </si>
  <si>
    <t>www.cicero.no</t>
  </si>
  <si>
    <t>Banking,Information Technology,Consulting,Financial Services,SaaS</t>
  </si>
  <si>
    <t>https://app.vainu.io/vainu/prospect/2378597/</t>
  </si>
  <si>
    <t>PHP, Mobilepay, Contact Form 7 Wordpress Plugin, Google tag manager, Sendgrid, Jquery, Tab Icon, TLS v1.2, Mailchimp, Google font api, Microsoft exchange, Vimeo, Youtube Embed, Gravatar, Wordpress, TLS v1.1, Font awesome, Apache, Youtube, Mysql, Google analytics, Linkedin, WordPress 5.6, jQuery Migrate, _("Responsive"), Html5, Afterpay, Form Html Element, Javascript, SSL/TLS, MailChimp 4.7, Office 365, Website, TLS v1.0, Outlook, WordPress 5, Apple Pay, Dankort, Office365 email</t>
  </si>
  <si>
    <t>CLOUDEPD AS</t>
  </si>
  <si>
    <t>NO920826385</t>
  </si>
  <si>
    <t>Brandvalvegen 39</t>
  </si>
  <si>
    <t>ROVERUD</t>
  </si>
  <si>
    <t>www.cloudepd.no</t>
  </si>
  <si>
    <t>Management Information Systems,Software,SaaS,Information Technology</t>
  </si>
  <si>
    <t>https://app.vainu.io/vainu/prospect/1073834130/</t>
  </si>
  <si>
    <t>PHP, Jquery, Flash, Tab Icon, Bootstrap 4.4, Google font api, Slack, _("Responsive"), Apache, Google analytics, Bootstrap, Google Site Verification, Form Html Element, jsDelivr, Javascript, Website, Office 365, Gmail, Corepublish</t>
  </si>
  <si>
    <t>CLOUDXTRACT AS</t>
  </si>
  <si>
    <t>NO917843562</t>
  </si>
  <si>
    <t>Postboks 1263</t>
  </si>
  <si>
    <t>GJØVIK</t>
  </si>
  <si>
    <t>www.cloudxtract.com/</t>
  </si>
  <si>
    <t>Internet,Software,Information Technology,Consumer Software,Small and Medium Businesses,Business Information Systems,SaaS,Management Information Systems</t>
  </si>
  <si>
    <t>https://app.vainu.io/vainu/prospect/106665899/</t>
  </si>
  <si>
    <t>PHP, Twitter, Google Sign-in, Jquery, Flash, Tab Icon, TLS v1.2, Google font api, Microsoft exchange, Vimeo, Youtube Embed, Facebook, Slack, TLS v1.1, Cloudflare, Youtube, _("Responsive"), Google analytics, zxx, Bootstrap, Facebook Share Button Plugin, Html5, Choices, Javascript, Hammer.js, SSL/TLS, Google Plus, Drupal, Office 365, Website, TLS v1.0, Outlook, Google Pay, Jquery ui, Office365 email, Recaptcha</t>
  </si>
  <si>
    <t>COGNITE AS</t>
  </si>
  <si>
    <t>NO918274758</t>
  </si>
  <si>
    <t>Oksenøyveien 10</t>
  </si>
  <si>
    <t>https://www.cognite.com/</t>
  </si>
  <si>
    <t>Data Integration,Internet of Things,Machine Learning,Software,Predictive Analytics,Intelligent Systems,Data Mining,Industry 4.0,Analytics,Artificial Intelligence,Data Center Automation,API,Real Time,Information Technology,Big Data,Enterprise Software</t>
  </si>
  <si>
    <t>https://app.vainu.io/vainu/prospect/230095708/</t>
  </si>
  <si>
    <t>Dropbox, PHP, Twitter, Google tag manager, Hubspot CMS, Twitter Ads, Jquery, Flash, Tab Icon, Vidyard, TLS v1.2, Hubspot Forms, Google font api, GoToWebinar, Linkedin Analytics / Advertisement Pixel, Vimeo, Hotjar, Youtube Embed, Ruby on rails, Linkedin Data Partner, Facebook, Linkedin Sign-in, Oracle marketing cloud, AMP, TLS v1.1, Facebook pixel, Cloudflare, Youtube, _("Responsive"), Google analytics, Linkedin, Amazon CloudFront, Global Site Tag, Facebook Share Button Plugin, Google Site Verification, Html5, Zendesk, Form Html Element, Choices, jsDelivr, Javascript, SSL/TLS, Slick, Hubspot Analytics, HubSpot CMS Hub, Office 365, Website, TLS v1.0, GitHub Pages, Nginx, Gmail, English, UNPKG, Instagram, Linkedin Insight Tag, Amazon web services, Hubspot, Ruby</t>
  </si>
  <si>
    <t>COMPELLO AS</t>
  </si>
  <si>
    <t>NO985206732</t>
  </si>
  <si>
    <t>Postboks 1</t>
  </si>
  <si>
    <t>www.compello.no</t>
  </si>
  <si>
    <t>Energy,Information Services,Software,Information Technology,Consumer Software,Business Information Systems,SaaS,Management Information Systems</t>
  </si>
  <si>
    <t>https://app.vainu.io/vainu/prospect/2515024/</t>
  </si>
  <si>
    <t>PHP, Mobilepay, Tab Icon, Microsoft IIS, Mailchimp, Hubspot Forms, Google maps, Microsoft IIS 10.0, Microsoft exchange, Vimeo, Microsoft azure, Facebook, Cookiebot, _("Responsive"), Linkedin, Javascript, Node.js, Express, Website, Blog, Outlook, Apple Pay, Instagram, Office365 email</t>
  </si>
  <si>
    <t>CONFIRMIT AS</t>
  </si>
  <si>
    <t>NO976886240</t>
  </si>
  <si>
    <t>Karenslyst allé 51</t>
  </si>
  <si>
    <t>confirmit.com</t>
  </si>
  <si>
    <t>Consumer Research,Customer Service,Customer Experience,Market Research,Software,Information Technology,Analytics,Real Time,SaaS,Semantic Web,Enterprise Software</t>
  </si>
  <si>
    <t>https://app.vainu.io/vainu/prospect/2064926/</t>
  </si>
  <si>
    <t>Kentico cms, Russian, Google tag manager, Finnish, Korean, Vimeo, French, Lithuanian, American Express, Cloudflare, Thai, _("Responsive"), Norwegian, Czech, Bulgarian, German, SSL/TLS, Cookielaw, Yii, Slovenian, Recaptcha, PHP, Arabic, Vidyard, Adobe Typekit, Dutch, Extranet, Google analytics, jQuery Migrate, Indonesian, Html5, Form Html Element, Croatian, Bootstrap 3.3, Blog, Outlook, Bosnian, Mimecast, Instagram, Optanon Cookie Consent, Ukrainian, Twitter, Italian, Danish, Microsoft exchange, Youtube Embed, Facebook, Greek, Pinterest, Youtube, Bootstrap, Javascript, Google Plus, Swedish, Marketo Forms, Nginx, Marketo, Turkish, English, Hungarian, Portuguese, Jquery, Tab Icon, TLS v1.2, Spanish, Kazakh, Persian, Hebrew, Openresty, Font awesome, Romanian, Microsoft asp.net, Linkedin, Japanese, Marketo Forms 2, Global Site Tag, Website, Xhtml, Polish, OneTrust, Livechat, Chinese</t>
  </si>
  <si>
    <t>El, Sv, En, Pt</t>
  </si>
  <si>
    <t>CONFRERE AS</t>
  </si>
  <si>
    <t>NO918544178</t>
  </si>
  <si>
    <t>Dovresvingen 6B</t>
  </si>
  <si>
    <t>https://confrere.com/?global</t>
  </si>
  <si>
    <t>Health Care,Video,Video Chat,Software,Information Technology,SaaS</t>
  </si>
  <si>
    <t>https://app.vainu.io/vainu/prospect/423634948/</t>
  </si>
  <si>
    <t>PHP, Twitter, TLS v1.2, Webpack, AmazonS, SlideShare, Vimeo, Hotjar, Facebook, TLS v1.1, React, MailerLite, _("Responsive"), Youtube, Linkedin, Amazon CloudFront, Google Site Verification, Zendesk, Html5, Form Html Element, Gatsby, Javascript, SSL/TLS, Gatsby 2.32, Website, TLS v1.0, Plausible, Gmail, Instagram, Amazon web services, MasterCard</t>
  </si>
  <si>
    <t>Sv, Fi, Nb, It, Fr, Nl, Da, Es, En, No, De</t>
  </si>
  <si>
    <t>CONNECTMYAPPS AS</t>
  </si>
  <si>
    <t>NO913244990</t>
  </si>
  <si>
    <t>Postboks 6395 Etterstad</t>
  </si>
  <si>
    <t>www.connectmyapps.com</t>
  </si>
  <si>
    <t>Software,Cloud Computing,Information Technology,Consumer Software,CRM,Small and Medium Businesses,Business Information Systems,Management Information Systems,SaaS,B2B,Enterprise Software,Enterprise Applications</t>
  </si>
  <si>
    <t>https://app.vainu.io/vainu/prospect/17304656/</t>
  </si>
  <si>
    <t>PHP, Twitter, Google tag manager, Cookie Consent By Insites, Jquery, Tab Icon, jQuery UI 1.10, Vidyard, Microsoft IIS, TLS v1.2, Mailchimp, Microsoft IIS 10.0, Google font api, Microsoft exchange, Facebook, Osano, Slack, Facebook pixel, Font awesome, _("Responsive"), Youtube, Google analytics, Linkedin, 24Nettbutikk, Microsoft asp.net, Global Site Tag, Wistia, Bootstrap, Facebook Share Button Plugin, Zendesk, Microsoft ASP.NET 4.0, Planday, Form Html Element, Javascript, SSL/TLS, Google Plus, animate.css, Office 365, Website, Bootstrap 2.3, MaxMind, Outlook, Salesforce, Amazon SES, Microsoft IIS 8.5, Google Pay, Jquery ui, Mystore, Office365 email, Recaptcha</t>
  </si>
  <si>
    <t>CONSORTIA AS</t>
  </si>
  <si>
    <t>NO821522552</t>
  </si>
  <si>
    <t>Hoberveien 1</t>
  </si>
  <si>
    <t>http://consortia.no/</t>
  </si>
  <si>
    <t>Internet,Software,Management Information Systems,Information Technology,Enterprise Software</t>
  </si>
  <si>
    <t>https://app.vainu.io/vainu/prospect/1305778845/</t>
  </si>
  <si>
    <t>PHP, Twitter, Google tag manager, Jquery, Tab Icon, Vkontakte, TLS v1.2, Swiper Slider, Google font api, Microsoft exchange, Vimeo, Gravatar, French, Wordpress, Facebook, Facebook pixel, Font awesome, _("Responsive"), Mysql, Intranet, Extranet, Google analytics, Linkedin, jQuery Migrate, Norwegian, Google Site Verification, Html5, Form Html Element, Office365 email, Javascript, SSL/TLS, WordPress 5.8, Google Plus, Tumblr, _("Online_Store"), Office 365, Website, WP-Statistics 13.1, Whatsapp Website Icon, Nginx, Outlook, WordPress 5, Yoast SEO, English, WP-Statistics, Yoast SEO 17.1, Elementor, Recaptcha</t>
  </si>
  <si>
    <t>Nb, nn, Fr, En, No</t>
  </si>
  <si>
    <t>CONTA GROUP AS</t>
  </si>
  <si>
    <t>NO816909252</t>
  </si>
  <si>
    <t>Brusdalsvegen 222</t>
  </si>
  <si>
    <t>ÅLESUND</t>
  </si>
  <si>
    <t>https://contagroup.no/</t>
  </si>
  <si>
    <t>SaaS</t>
  </si>
  <si>
    <t>https://app.vainu.io/vainu/prospect/17263730/</t>
  </si>
  <si>
    <t>PHP, Twitter, Google tag manager, Jquery, Tab Icon, TLS v1.2, Apache 2.4, Gravatar, Wordpress, Facebook, Slack, TLS v1.1, Facebook pixel, Responsive, Apache, Ubuntu, Mysql, Yoast SEO 11.2, Google analytics, Linkedin, Javascript, SSL/TLS, Website, TLS v1.0, Flickr, Yoast SEO, Yammer</t>
  </si>
  <si>
    <t>CONVERTELLIGENCE AS</t>
  </si>
  <si>
    <t>NO817617492</t>
  </si>
  <si>
    <t>Bygg N Trondheimsveien 2</t>
  </si>
  <si>
    <t>https://www.convertelligence.no/</t>
  </si>
  <si>
    <t>E-Commerce,Machine Learning,Software,Artificial Intelligence,Natural Language Processing,SaaS</t>
  </si>
  <si>
    <t>https://app.vainu.io/vainu/prospect/93249674/</t>
  </si>
  <si>
    <t>TLS v1.2, Mailchimp, Webpack, Netlify, Facebook, Slack, React, Responsive, Google analytics, Linkedin, Form Html Element, Contentful, Gatsby, Javascript, SSL/TLS, Website, Typeform, Homerun, Yammer</t>
  </si>
  <si>
    <t>CORRELATE AS</t>
  </si>
  <si>
    <t>NO915464505</t>
  </si>
  <si>
    <t>Postboks 4121 Sjølyst</t>
  </si>
  <si>
    <t>https://www.correlate.com/</t>
  </si>
  <si>
    <t>Document Management,Software,Collaboration,Developer APIs,Enterprise,Operating Systems,Consumer Software,Productivity Tools,Contact Management,Management Information Systems,File Sharing,Information Technology,Application Performance Management,Enterprise Software,SaaS</t>
  </si>
  <si>
    <t>https://app.vainu.io/vainu/prospect/2134855/</t>
  </si>
  <si>
    <t>Segment, PHP, Twitter, WordPress 5.2, Google tag manager, Jquery, Tab Icon, Elementor 2.6, TLS v1.2, Astra 2.0, Swiper Slider, Google font api, Wordpress, Facebook, Slack, TLS v1.1, Font awesome, Nginx 1.15, _("Responsive"), Mysql, Google analytics, Linkedin, jQuery Migrate, Google Site Verification, Html5, Javascript, Smartyads, SSL/TLS, animate.css, Website, TLS v1.0, Nginx, Gmail, WordPress 5, OWL Carousel, Elementor, Astra, Castle Accont Takeout Prevention</t>
  </si>
  <si>
    <t>COSAC AS</t>
  </si>
  <si>
    <t>NO920327834</t>
  </si>
  <si>
    <t>Lindebergåsen 18A</t>
  </si>
  <si>
    <t>www.cosac.io</t>
  </si>
  <si>
    <t>E-Commerce,Software,Information Technology,Supply Chain Management,SaaS,B2B,Logistics</t>
  </si>
  <si>
    <t>https://app.vainu.io/vainu/prospect/826290805/</t>
  </si>
  <si>
    <t>Heroku, Jquery, Tab Icon, Lightbox, Crisp Chat, Vimeo, Hotjar, Youtube Embed, Facebook, Lithuanian, TLS v1.1, Font awesome, Cloudflare, Youtube, _("Responsive"), Google analytics, Bootstrap, Norwegian, Bootstrap 4.3, Heatmap, Modernizr, Form Html Element, Javascript, SSL/TLS, Website, TLS v1.0, jQuery UI 1.9, English, Popper, Popper 1.14, Jquery ui</t>
  </si>
  <si>
    <t>En, Lt</t>
  </si>
  <si>
    <t>CRYSTALLIZE AS</t>
  </si>
  <si>
    <t>NO919134216</t>
  </si>
  <si>
    <t>Kverndalsgata 8</t>
  </si>
  <si>
    <t>SKIEN</t>
  </si>
  <si>
    <t>https://crystallize.com/</t>
  </si>
  <si>
    <t>B2C,Developer APIs,Consumer Software,Semantic Web,Content Discovery,Software,API,Online Portals,Personalization,Crowdsourcing,Content,Internet,B2B,E-Commerce,Product Search,E-Commerce Platforms,Online Forums,Real Time,SaaS,Semantic Search,Enterprise Software</t>
  </si>
  <si>
    <t>https://app.vainu.io/vainu/prospect/552688712/</t>
  </si>
  <si>
    <t>Twitter, Google tag manager, Tab Icon, TLS v1.2, Webpack, AmazonS, Google font api, Youtube Embed, Adobe Typekit, TLS v1.1, React, Next.js, Stripe Online Payments, Youtube, _("Responsive"), Google analytics, Amazon CloudFront, Google Site Verification, Afterpay, Form Html Element, Javascript, SSL/TLS, Node.js, _("Online_Store"), Website, TLS v1.0, Vercel, Gmail, Vipps Payment, Mollie, Homerun, Amazon web services</t>
  </si>
  <si>
    <t>CUBIT AS</t>
  </si>
  <si>
    <t>NO919062223</t>
  </si>
  <si>
    <t>Odins veg 61</t>
  </si>
  <si>
    <t>NESTTUN</t>
  </si>
  <si>
    <t>www.cubit.no</t>
  </si>
  <si>
    <t>Consumer Software,Software,Information Technology</t>
  </si>
  <si>
    <t>https://app.vainu.io/vainu/prospect/511604001/</t>
  </si>
  <si>
    <t>PHP, Contact Form 7 Wordpress Plugin, Google tag manager, Jquery, Tab Icon, TLS v1.2, Vimeo, WordPress 5.1, Wordpress, Apache, _("Responsive"), Mysql, Google analytics, jQuery Migrate, Global Site Tag, Norwegian, Google Site Verification, Form Html Element, Javascript, SSL/TLS, Slick, Website, Gmail, WordPress 5, English</t>
  </si>
  <si>
    <t>CURRENT ECO AS</t>
  </si>
  <si>
    <t>NO912901491</t>
  </si>
  <si>
    <t>Wergelandsveien 1</t>
  </si>
  <si>
    <t>www.meshcrafts.com</t>
  </si>
  <si>
    <t>Electric Vehicle,Energy,Electronics,CleanTech,Power Grid,Renewable Energy,GreenTech,Manufacturing,Battery,Automotive</t>
  </si>
  <si>
    <t>https://app.vainu.io/vainu/prospect/1634906/</t>
  </si>
  <si>
    <t>PHP, Sendgrid, Jquery, Tab Icon, TLS v1.2, Google maps, Google font api, Microsoft exchange, Vimeo, Apache 2.4, Facebook, Slack, TLS v1.1, Apache, Ubuntu, _("Responsive"), Google analytics, Facebook Share Button Plugin, Google Site Verification, Zendesk, Form Html Element, Javascript, SSL/TLS, Website, TLS v1.0, Outlook, Office365 email</t>
  </si>
  <si>
    <t>CV PARTNER AS</t>
  </si>
  <si>
    <t>NO999212611</t>
  </si>
  <si>
    <t>Postboks 6637 St. Olavs plass</t>
  </si>
  <si>
    <t>cvpartner.no</t>
  </si>
  <si>
    <t>Professional Services,Internet,Software,Information Technology,Consulting,SaaS,Human Resources</t>
  </si>
  <si>
    <t>https://app.vainu.io/vainu/prospect/1938452/</t>
  </si>
  <si>
    <t>Upsales Crm, Twitter, Jquery, Varnish, TLS v1.2, Google font api, Linkedin Analytics / Advertisement Pixel, Vimeo, jQuery-pjax, Adobe Typekit, Openresty, Slack, _("Responsive"), Linkedin, Amazon CloudFront, Google Site Verification, Form Html Element, Javascript, SSL/TLS, Webflow, Cookielaw, Website, Nginx, Gmail, OneTrust, Adnxs, Amazon web services, Optanon Cookie Consent</t>
  </si>
  <si>
    <t>DEMIO AS</t>
  </si>
  <si>
    <t>NO926034863</t>
  </si>
  <si>
    <t>c/o Norus Accounting AS Postboks 2 Lindebergåsen</t>
  </si>
  <si>
    <t>demio.com</t>
  </si>
  <si>
    <t>Advertising,Software,Marketing,SaaS,B2B</t>
  </si>
  <si>
    <t>https://app.vainu.io/vainu/prospect/2266723276/</t>
  </si>
  <si>
    <t>Dropbox, PHP, Flash video, Twitter, Doubleclick, Active Campaign, Spot.Im / Disgus, Contact Form 7 Wordpress Plugin, Google tag manager, Hubspot CMS, Jquery, Tab Icon, Varnish, TLS v1.2, Hubspot Email, Stripe Online Payments, Hubspot Forms, Google font api, GoToWebinar, Linkedin Analytics / Advertisement Pixel, ConvertKit, Gravatar, Wordpress, Adobe Typekit, Facebook, Osano, _("Responsive"), ClickFunnels, Openresty, React, Facebook pixel, Font awesome, Mailgun, Cloudflare, Vue.js, Mysql, Google analytics, Linkedin, Hubspot, Yoast SEO 16.2, Global Site Tag, Wistia, jQuery Migrate, Google Site Verification, Bootstrap, Html5, Intercom, Modernizr, Form Html Element, Disqus, Javascript, jsDelivr, Smartyads, SSL/TLS, Webflow, WordPress 5.7, HubSpot CMS Hub, Website, Embed.Ly, Nginx, Gmail, WordPress 5, Yoast SEO, Cxense, ZOOM, Instagram, Stripe, Intercom Articles, Recaptcha</t>
  </si>
  <si>
    <t>DIGIUNITY AS</t>
  </si>
  <si>
    <t>NO998297915</t>
  </si>
  <si>
    <t>Tordenskiolds gate 2</t>
  </si>
  <si>
    <t>https://digiunity.com/nor/hjem/</t>
  </si>
  <si>
    <t>Video,Video Chat,Internet,Knowledge Management,Software,Virtual Workforce,E-Learning,Productivity Tools,Education,SaaS,Content</t>
  </si>
  <si>
    <t>https://app.vainu.io/vainu/prospect/2738185/</t>
  </si>
  <si>
    <t>PHP, Google tag manager, Auth0, Jquery, Tab Icon, TLS v1.2, Google maps, Google font api, Linkedin Analytics / Advertisement Pixel, Apache 2.4, Youtube Embed, Firebase, Linkedin Data Partner, Wordpress, Facebook, New relic, Facebook pixel, Font awesome, Apache, Youtube, Mysql, Google analytics, Linkedin, Ubuntu, _("Responsive"), Bootstrap, Norwegian, Google Site Verification, Modernizr, Form Html Element, Javascript, Firebase 7.5, SSL/TLS, Alexa Analytics Certified, Slick, WordPress 5.7, Wordpress super cache, Website, Gmail, WordPress 5, English, Google Firebase, Bootstrap 4.7, Livechat, Auth0 9.3, Linkedin Insight Tag, Amazon web services, Jquery ui, Google play, Yandex Metrica, Hubspot, Recaptcha</t>
  </si>
  <si>
    <t>DISTRIBUTION INNOVATION AS</t>
  </si>
  <si>
    <t>NO983784038</t>
  </si>
  <si>
    <t>Postboks 1 Sentrum</t>
  </si>
  <si>
    <t>www.di.no</t>
  </si>
  <si>
    <t>E-Commerce,Cloud Data Services,Information Technology,SaaS,Logistics</t>
  </si>
  <si>
    <t>https://app.vainu.io/vainu/prospect/2760920/</t>
  </si>
  <si>
    <t>PHP, Twitter, Google tag manager, Jquery, Flash, Tab Icon, Mailchimp, AmazonS, Google maps, Google font api, Facebook, Slack, Apache, _("Responsive"), Google analytics, Linkedin, Amazon CloudFront, Google Site Verification, Html5, Nginx 1.10, Form Html Element, Javascript, Chatlio, Office 365, Website, Nginx, Xhtml, MaxMind, Apple App Store, Amazon web services, Google play, Jobylon</t>
  </si>
  <si>
    <t>DOCUMASTER ASA</t>
  </si>
  <si>
    <t>NO995475383</t>
  </si>
  <si>
    <t>Skøyen 5 etasje Karenslyst allé 9A</t>
  </si>
  <si>
    <t>www.documaster.no</t>
  </si>
  <si>
    <t>SQL,Software,Software Engineering,Information Technology,Application Performance Management,Data Center Automation</t>
  </si>
  <si>
    <t>https://app.vainu.io/vainu/prospect/14814740/</t>
  </si>
  <si>
    <t>Twitter, Google tag manager, Hubspot CMS, Jquery, Tab Icon, Hubspot Forms, Google font api, GoToWebinar, Microsoft exchange, Vimeo, Youtube Embed, Facebook, Linkedin Sign-in, AMP, Cloudflare, _("Responsive"), Google analytics, Linkedin, Amazon CloudFront, Bootstrap, Norwegian, Google Site Verification, Hubspot Marketing Hub, Form Html Element, Javascript, HubSpot CMS Hub, Office 365, Website, Addthis, Swedish, Outlook, English, Hubspot Rss Feed, Amazon web services, Office365 email, Hubspot, Recaptcha</t>
  </si>
  <si>
    <t>DOGU SALESSCREEN AS</t>
  </si>
  <si>
    <t>NO997254953</t>
  </si>
  <si>
    <t>Karl Johans gate 13</t>
  </si>
  <si>
    <t>www.dogu.no</t>
  </si>
  <si>
    <t>SaaS,Mobile Apps</t>
  </si>
  <si>
    <t>https://app.vainu.io/vainu/prospect/2575050/</t>
  </si>
  <si>
    <t>PHP, Twitter, Jquery, Tab Icon, Sharethis, Facebook, Font awesome, _("Responsive"), Pinterest, Google analytics, Linkedin, Bootstrap, Scorecard Research, Javascript, animate.css, Website, Comscore, Blog, Xhtml, OWL Carousel</t>
  </si>
  <si>
    <t>DOMOS AS</t>
  </si>
  <si>
    <t>NO912198332</t>
  </si>
  <si>
    <t>Ole Moes vei 12</t>
  </si>
  <si>
    <t>domos.no</t>
  </si>
  <si>
    <t>Virtual Assistant,Machine Learning,Software,Artificial Intelligence,Information Technology</t>
  </si>
  <si>
    <t>https://app.vainu.io/vainu/prospect/2241645/</t>
  </si>
  <si>
    <t>Twitter, Squarespace, Stimulus, Google tag manager, Google adwords, Tab Icon, TLS v1.2, Linkedin Analytics / Advertisement Pixel, Youtube Embed, Linkedin Data Partner, Wordpress, Adobe Typekit, Facebook, AMP, TLS v1.1, _("Responsive"), Youtube, Google analytics, Linkedin, Global Site Tag, Google Site Verification, Afterpay, Form Html Element, Javascript, SSL/TLS, Office 365, Website, TLS v1.0, Xhtml, Gmail, Linkedin Insight Tag</t>
  </si>
  <si>
    <t>DRAFTIT PRIVACY AS</t>
  </si>
  <si>
    <t>NO817815782</t>
  </si>
  <si>
    <t>Postboks 358  Sentrum</t>
  </si>
  <si>
    <t>www.draftitprivacy.no</t>
  </si>
  <si>
    <t>Compliance,Software,SaaS,Information Technology</t>
  </si>
  <si>
    <t>https://app.vainu.io/vainu/prospect/111313040/</t>
  </si>
  <si>
    <t>PHP, Flash video, Twitter, Google tag manager, Gravity Forms 2.5, Jquery, Flash, Tab Icon, TLS v1.2, Google font api, Linkedin Analytics / Advertisement Pixel, Microsoft exchange, Vimeo, Youtube Embed, Linkedin Data Partner, Wordpress, Facebook, TLS v1.1, Facebook pixel, Font awesome, _("Responsive"), Mysql, Google analytics, Linkedin, jQuery Migrate, Bootstrap, Google Site Verification, Zendesk, Form Html Element, jsDelivr, Javascript, Gravity Forms, SSL/TLS, Slick, Leadfeeder, Office 365, TLS v1.0, Website, Nginx, Outlook, Gmail, Yoast SEO, UNPKG, Yoast SEO 17.1, Instagram, Linkedin Insight Tag, MasterCard</t>
  </si>
  <si>
    <t>DUETT AS</t>
  </si>
  <si>
    <t>NO932971917</t>
  </si>
  <si>
    <t>TYNSET</t>
  </si>
  <si>
    <t>duett.no</t>
  </si>
  <si>
    <t>Software,Accounting,Information Technology</t>
  </si>
  <si>
    <t>https://app.vainu.io/vainu/prospect/2713828/</t>
  </si>
  <si>
    <t>PHP, Google tag manager, Jquery, Tab Icon, Microsoft IIS, TLS v1.2, Mailchimp, GeneratePress, Google maps, Linkedin Analytics / Advertisement Pixel, Google font api, Vimeo, Apache 2.4, Youtube Embed, Microsoft exchange, Gravatar, Linkedin Data Partner, Wordpress, GeneratePress 3.0, Facebook, GlobalSign, Uikit, TLS v1.1, Caldera Forms, Font awesome, Apache, Youtube, Mysql, Google analytics, Linkedin, Microsoft asp.net, jQuery Migrate, Global Site Tag, Ubuntu, _("Responsive"), Google Site Verification, Microsoft IIS 8.0, Form Html Element, Javascript, SSL/TLS, WordPress 5.8, Website, TLS v1.0, Outlook, WordPress 5, OWL Carousel, Instagram, Linkedin Insight Tag, Office365 email, DataTables</t>
  </si>
  <si>
    <t>EARMA</t>
  </si>
  <si>
    <t>NO923827110</t>
  </si>
  <si>
    <t>Rue Joseph II 36-38</t>
  </si>
  <si>
    <t>BE-1000 BRUXELLES</t>
  </si>
  <si>
    <t>earma.org</t>
  </si>
  <si>
    <t>Research,EdTech,Association,Non Profit,Education,Science,SaaS,Higher Education</t>
  </si>
  <si>
    <t>https://app.vainu.io/vainu/prospect/1878376907/</t>
  </si>
  <si>
    <t>PHP, Twitter, Contact Form 7 Wordpress Plugin, Revslider, Google tag manager, Jquery, Tab Icon, Varnish, TLS v1.2, Mailchimp, Google maps, Google font api, Vimeo, Youtube Embed, Wordpress, Sharethis, Facebook, Font awesome, Apache, Youtube, Mysql, Google analytics, Linkedin, jQuery Migrate, Bootstrap, Global Site Tag, _("Responsive"), Pinterest, Scorecard Research, Facebook Share Button Plugin, Select2, Form Html Element, Javascript, SSL/TLS, animate.css, Office 365, Website, TLS v1.0, Addthis, Comscore, Moment.js, OWL Carousel, Underscore.js, Varnish 6.6, Revslider 6.5</t>
  </si>
  <si>
    <t>ECOONLINE AS</t>
  </si>
  <si>
    <t>NO982263700</t>
  </si>
  <si>
    <t>Grev Wedels gate 1</t>
  </si>
  <si>
    <t>www.ecoonline.com</t>
  </si>
  <si>
    <t>Software,Compliance,Information Technology,Management Information Systems,SaaS</t>
  </si>
  <si>
    <t>https://app.vainu.io/vainu/prospect/1862006/</t>
  </si>
  <si>
    <t>PHP, Twitter, Google tag manager, Hubspot CMS, Docusign, Finnish, Danish, Jquery, Tab Icon, TLS v1.2, Hubspot Forms, Google font api, GoToWebinar, Datadog, Youtube Embed, Wordpress, Facebook, Linkedin Sign-in, AMP, TLS v1.1, Cookiebot, Apache, Cloudflare, ZOOM, Intranet, Google analytics, Linkedin, Amazon CloudFront, Youtube, _("Responsive"), Facebook Share Button Plugin, Google Site Verification, Html5, Norwegian, Hubspot Marketing Hub, Form Html Element, Javascript, SSL/TLS, HubSpot CMS Hub, Website, Swedish, TLS v1.0, Facebook Domain Verification, Amazon web services, Hubspot</t>
  </si>
  <si>
    <t>ELASTICSEARCH AS</t>
  </si>
  <si>
    <t>NO994812564</t>
  </si>
  <si>
    <t>C/o TMF Norway AS Postboks 173</t>
  </si>
  <si>
    <t>ASKER</t>
  </si>
  <si>
    <t>elastic.co</t>
  </si>
  <si>
    <t>Semantic Web,Internet,Software,Open Source,Developer APIs,Search Engine,Analytics,Developer Tools,Big Data,Database,Security,Real Time,Information Technology,Semantic Search,Enterprise Software,SaaS</t>
  </si>
  <si>
    <t>https://app.vainu.io/vainu/prospect/12358138/</t>
  </si>
  <si>
    <t>PHP, Optimizely, Twitter, Google tag manager, Docusign, Jquery, Korean, Tab Icon, Vidyard, Varnish, TLS v1.2, Spanish, Google maps, Google font api, French, my-server, Wordpress, Adobe Typekit, Facebook, _("Responsive"), Youtube, Google analytics, Linkedin, Japanese, Bootstrap, Adobe Enterprise, Wistia, Google Site Verification, Form Html Element, Javascript, German, SSL/TLS, Website, Contentstack, Blog, Gmail, Drift Chat, Cxense, English, Facebook Domain Verification, Portuguese, Amazon web services, Chinese, Bootstrap 4.0</t>
  </si>
  <si>
    <t>ENERGY QUANTIFIED AS</t>
  </si>
  <si>
    <t>NO919326719</t>
  </si>
  <si>
    <t>Holbergs gate 1</t>
  </si>
  <si>
    <t>energyquantified.com</t>
  </si>
  <si>
    <t>Energy,Software,Information Technology,Analytics,Real Time,SaaS,Big Data</t>
  </si>
  <si>
    <t>https://app.vainu.io/vainu/prospect/636466351/</t>
  </si>
  <si>
    <t>Google tag manager, Django, Help Scout, Jquery, Tab Icon, Varnish, TLS v1.2, Hubspot Email, Google maps, Google font api, Microsoft exchange, Adobe Typekit, Openresty, TLS v1.1, Slack, _("Responsive"), Google analytics, Linkedin, Google Site Verification, Form Html Element, Javascript, SSL/TLS, Webflow, Python, Website, TLS v1.0, Nginx, Outlook, Office365 email</t>
  </si>
  <si>
    <t>ENONIC AS</t>
  </si>
  <si>
    <t>NO976786270</t>
  </si>
  <si>
    <t>Kirkegata 1-3</t>
  </si>
  <si>
    <t>enonic.com</t>
  </si>
  <si>
    <t>Internet,Web Development,CMS,Software,SaaS,Developer APIs,Consumer Software,Product Management,Developer Tools,API,Management Information Systems,Information Technology,Content,Semantic Web,Enterprise Software,Enterprise Applications</t>
  </si>
  <si>
    <t>https://app.vainu.io/vainu/prospect/1899540/</t>
  </si>
  <si>
    <t>PHP, Twitter, Google tag manager, Jquery, Tab Icon, TLS v1.2, Hubspot Email, Vimeo, Youtube Embed, Ruby on rails, Gravatar, Wordpress, Facebook, Cloudflare, Youtube, Intranet, Google analytics, Linkedin, _("Responsive"), Google Site Verification, Zendesk, Html5, iubenda, Form Html Element, Javascript, SSL/TLS, Website, Blog, Discourse 2.7, Zurb foundation, Gmail, Siteimprove Analytics, Discourse, Instagram, Alpine.js, Hubspot, Ruby, Castle Accont Takeout Prevention</t>
  </si>
  <si>
    <t>ESMART SYSTEMS AS</t>
  </si>
  <si>
    <t>NO998927854</t>
  </si>
  <si>
    <t>Håkon Melbergs vei 16</t>
  </si>
  <si>
    <t>HALDEN</t>
  </si>
  <si>
    <t>https://www.esmartsystems.com/</t>
  </si>
  <si>
    <t>Internet of Things,Energy,Machine Learning,Software,Intelligent Systems,Analytics,Artificial Intelligence,Information Technology</t>
  </si>
  <si>
    <t>https://app.vainu.io/vainu/prospect/2019970/</t>
  </si>
  <si>
    <t>PHP, Twitter, Google tag manager, Hubspot CMS, Jquery, Flash, Tab Icon, Vidyard, TLS v1.2, Hubspot Forms, Google font api, GoToWebinar, Microsoft exchange, Vimeo, Microsoft azure, Wordpress, Facebook, Linkedin Sign-in, Oracle marketing cloud, AMP, Cloudflare, _("Responsive"), Google analytics, Linkedin, Bootstrap, Facebook Share Button Plugin, Zendesk, Html5, Hubspot Marketing Hub, Form Html Element, Modernizr, Javascript, SSL/TLS, Google Plus, HubSpot CMS Hub, Website, Outlook, Office365 email, Hubspot</t>
  </si>
  <si>
    <t>EYR MEDICAL AS</t>
  </si>
  <si>
    <t>NO915487467</t>
  </si>
  <si>
    <t>Kongens gate 12</t>
  </si>
  <si>
    <t>eyr.md/no/</t>
  </si>
  <si>
    <t>Health Care,Medical,Diabetes</t>
  </si>
  <si>
    <t>https://app.vainu.io/vainu/prospect/1902368/</t>
  </si>
  <si>
    <t>Heroku, PHP, Twitter, section.io, Stimulus, Google tag manager, Fontfaceobserver, Jquery, Tab Icon, Varnish, TLS v1.2, Facebook Like Button Plugin, Mailchimp, Google maps, Google font api, Vimeo, Youtube Embed, Facebook, TLS v1.1, Ziggeo, Facebook pixel, Font awesome, Facebook Page Plugin, Mailgun, _("Responsive"), Youtube, Google analytics, Linkedin, Norwegian, Ntbinfo, Facebook Share Button Plugin, Google Site Verification, Html5, Intercom, Craft Commerce, Form Html Element, Javascript, Teamtailor, SSL/TLS, Branch, Website, TLS v1.0, Rackcache, Nginx, Gmail, English, Apple App Store, Facebook Domain Verification, Instagram, Google play, Ruby</t>
  </si>
  <si>
    <t>Sv, Nb, Da, En, No</t>
  </si>
  <si>
    <t>FIFTYTWO AS</t>
  </si>
  <si>
    <t>NO912361837</t>
  </si>
  <si>
    <t>Postboks 5065 Majorstuen</t>
  </si>
  <si>
    <t>fiftytwo.com</t>
  </si>
  <si>
    <t>B2C,E-Commerce,Internet,Product Search,E-Commerce Platforms,Software,Media and Entertainment,Consumer Software,Retail,Consulting,Information Technology,SaaS</t>
  </si>
  <si>
    <t>https://app.vainu.io/vainu/prospect/2187198/</t>
  </si>
  <si>
    <t>PHP, Twitter, Mobilepay, Google tag manager, Hubspot CMS, Ingenico Group, Sendgrid, Danish, Jquery, Tab Icon, Hubspot Forms, Google font api, GoToWebinar, Microsoft exchange, Youtube Embed, Wordpress, Facebook, Linkedin Sign-in, GlobalSign, Slack, Cloudflare, Cookiebot, _("Responsive"), Google analytics, Linkedin, Amazon CloudFront, Facebook Share Button Plugin, Html5, Hubspot Marketing Hub, Form Html Element, Javascript, Shopify, _("Online_Store"), HubSpot CMS Hub, Website, Typeform, Outlook, English, Apple Pay, Amazon web services, Dankort, Office365 email, Hubspot, OptinMonster</t>
  </si>
  <si>
    <t>FIKEN AS</t>
  </si>
  <si>
    <t>NO913312465</t>
  </si>
  <si>
    <t>Karl Johans gate 37B</t>
  </si>
  <si>
    <t>www.fiken.no</t>
  </si>
  <si>
    <t>FinTech,Accounting,Software,Information Technology,Financial Services,SaaS</t>
  </si>
  <si>
    <t>https://app.vainu.io/vainu/prospect/2187463/</t>
  </si>
  <si>
    <t>Dropbox, PHP, Twitter, Opencart, Google tag manager, Sendgrid, Jquery, Tab Icon, Varnish, TLS v1.2, Bootstrap 4, Mailchimp, Youtube Embed, Facebook, New relic, Openresty, TLS v1.1, Ghost 3.42, MasterCard, Stripe Online Payments, Youtube, _("Responsive"), Google analytics, Linkedin, 24Nettbutikk, Ghost, Bootstrap, Google Site Verification, Html5, Angularjs, Form Html Element, Choices, Javascript, SSL/TLS, Node.js, _("Online_Store"), Office 365, Website, TLS v1.0, AngularJS 1.8, Nginx, Moment.js, Gmail, Vipps Payment, UNPKG, Visa, Facebook Domain Verification, Instagram, Mystore, Recaptcha, Olark</t>
  </si>
  <si>
    <t>FILMGRAIL AS</t>
  </si>
  <si>
    <t>NO998383358</t>
  </si>
  <si>
    <t>Kjelsåsveien 160</t>
  </si>
  <si>
    <t>www.filmgrail.com</t>
  </si>
  <si>
    <t>B2C,Film,Apps,Advertising,Software,Marketing,Digital Marketing,SaaS</t>
  </si>
  <si>
    <t>https://app.vainu.io/vainu/prospect/2204850/</t>
  </si>
  <si>
    <t>Dropbox, PHP, Twitter, Google Sign-in, Google tag manager, Sendgrid, Jquery, Tab Icon, Varnish, Microsoft IIS, TLS v1.2, Hubspot Forms, Microsoft IIS 10.0, Google font api, Vimeo, Youtube Embed, Facebook, Azure Edge, _("Responsive"), Vue.js, Pinterest, Linkedin, Amazon CloudFront, Bootstrap, Wistia, Zendesk, Facebook Chat, AngularJS 1.7, Angularjs, Form Html Element, jsDelivr, Javascript, SSL/TLS, Node.js, Google Plus, Slick, Express, Website, Blog, Nginx, Gmail, Amazon web services</t>
  </si>
  <si>
    <t>FLEXIFY AS</t>
  </si>
  <si>
    <t>NO919680385</t>
  </si>
  <si>
    <t>Sandstuveien 2A</t>
  </si>
  <si>
    <t>flexify.no</t>
  </si>
  <si>
    <t>Human Resources,Consulting</t>
  </si>
  <si>
    <t>https://app.vainu.io/vainu/prospect/678885324/</t>
  </si>
  <si>
    <t>Sendgrid, Jquery, Tab Icon, Varnish, TLS v1.2, Mailchimp, Google maps, Google font api, Hotjar, Adobe Typekit, Facebook, Openresty, Facebook pixel, _("Responsive"), Google analytics, Linkedin, Google Site Verification, Intercom, Form Html Element, Javascript, SSL/TLS, Webflow, Unbounce, Website, Embed.Ly, Vercel, Nginx, Gmail, Digitroll</t>
  </si>
  <si>
    <t>FLEXPOS APS</t>
  </si>
  <si>
    <t>NO919126256</t>
  </si>
  <si>
    <t>Ved Lunden 9</t>
  </si>
  <si>
    <t>DK-8230 ÅBYHØJ</t>
  </si>
  <si>
    <t>flexpos.com</t>
  </si>
  <si>
    <t>Computer,Software,Information Technology,Consumer Software,Point of Sale,SaaS</t>
  </si>
  <si>
    <t>https://app.vainu.io/vainu/prospect/799553771/</t>
  </si>
  <si>
    <t>PHP, Twitter, Active Campaign, Opencart, Mobilepay, Google tag manager, Danish, Jquery, Faroese, Tab Icon, Microsoft IIS, TLS v1.2, Microsoft IIS 10.0, Google font api, Microsoft exchange, Youtube Embed, Facebook, particles.js, Slack, TLS v1.1, Facebook pixel, Font awesome, _("Responsive"), Youtube, CloudFront, Google analytics, Linkedin, Dankort, Amazon CloudFront, Global Site Tag, Bootstrap, Norwegian, Google Site Verification, Zendesk, Html5, Form Html Element, Microsoft Word, Javascript, German, SSL/TLS, Sleeknote, _("Online_Store"), Office 365, Swedish, TLS v1.0, Website, Nginx, Outlook, English, Amazon web services, MasterCard, Office365 email</t>
  </si>
  <si>
    <t>FLYYT AS</t>
  </si>
  <si>
    <t>NO919419768</t>
  </si>
  <si>
    <t>C/O Arkwright X Grundingen 2</t>
  </si>
  <si>
    <t>https://www.flyyt.no/</t>
  </si>
  <si>
    <t>Software,Information Technology</t>
  </si>
  <si>
    <t>https://app.vainu.io/vainu/prospect/633293192/</t>
  </si>
  <si>
    <t>Pepyaka 1.19, Wix, Tab Icon, TLS v1.2, Google font api, Microsoft exchange, React 619, Polyfill, Facebook, Pepyaka, TLS v1.1, React, lodash, _("Responsive"), Google analytics, Linkedin, Bootstrap, Google Site Verification, Form Html Element, Javascript, Smartyads, SSL/TLS, Google Cloud, Website, Office 365, TLS v1.0, Whatsapp Website Icon, Outlook, Office365 email</t>
  </si>
  <si>
    <t>No</t>
  </si>
  <si>
    <t>FOODBACK AS</t>
  </si>
  <si>
    <t>NO811900052</t>
  </si>
  <si>
    <t>https://www.foodback.com/</t>
  </si>
  <si>
    <t>B2C,Food and Beverage,Software,Information Technology,Analytics,Hospitality,SaaS,Restaurants</t>
  </si>
  <si>
    <t>https://app.vainu.io/vainu/prospect/2598406/</t>
  </si>
  <si>
    <t>PHP, Twitter, Contact Form 7 Wordpress Plugin, Google tag manager, Hubspot CMS, Jquery, Tab Icon, TLS v1.2, Divi, Hubspot Forms, Google font api, GoToWebinar, Linkedin Analytics / Advertisement Pixel, Vimeo, Microsoft exchange, Youtube Embed, Gravatar, Wordpress, Facebook, _("Responsive"), Castle Accont Takeout Prevention, React, Facebook pixel, lodash, Cloudflare, Mysql, Google analytics, Linkedin, Youtube, Amazon CloudFront, Global Site Tag, Wistia, jQuery Migrate, Google Site Verification, Yoast SEO 16.5, Intercom, Form Html Element, Javascript, SSL/TLS, WordPress 5.7, Nginx 1.20, HubSpot CMS Hub, Divi 4.9, Leadfeeder, Office 365, Website, Flickr, Nginx, Outlook, WordPress 5, Yoast SEO, Amazon SES, Facebook Domain Verification, Instagram, Amazon web services, Office365 email, Hubspot, Recaptcha</t>
  </si>
  <si>
    <t>FORCE AGILE AS</t>
  </si>
  <si>
    <t>NO916499191</t>
  </si>
  <si>
    <t>Postboks 161</t>
  </si>
  <si>
    <t>www.humandrive.no</t>
  </si>
  <si>
    <t>Internet,Software,Information Technology,Web Browsers,Social Media,Online Portals,Productivity Tools,Consulting,Crowdsourcing,SaaS,Online Forums</t>
  </si>
  <si>
    <t>https://app.vainu.io/vainu/prospect/9209642/</t>
  </si>
  <si>
    <t>PHP, Pepyaka 1.19, Wix, Tab Icon, TLS v1.2, Microsoft exchange, Gravatar, Polyfill, Facebook, Pepyaka, TLS v1.1, React, lodash, _("Responsive"), Linkedin, Bootstrap, Google Site Verification, Form Html Element, Javascript, SSL/TLS, Website, TLS v1.0, Whatsapp Website Icon, Outlook, Office365 email</t>
  </si>
  <si>
    <t>FOTOWARE AS</t>
  </si>
  <si>
    <t>NO978715753</t>
  </si>
  <si>
    <t>Tollbugata 35</t>
  </si>
  <si>
    <t>Fotoware.com</t>
  </si>
  <si>
    <t>Video,Document Management,CMS,Software,Content Delivery Network,Consumer Software,Operating Systems,Real Time,Audio,File Sharing,Information Technology,Enterprise Software,SaaS</t>
  </si>
  <si>
    <t>https://app.vainu.io/vainu/prospect/17304914/</t>
  </si>
  <si>
    <t>Heroku, Google tag manager, Hubspot Meetings Plugin, Microsoft IIS, Hubspot Forms, Vimeo, French, Cloudflare, _("Responsive"), Amazon CloudFront, Norwegian, German, PHP, Varnish, Hotjar, Box, Linkedin Data Partner, Slack, Intranet, Google analytics, Google Site Verification, Html5, Microsoft ASP.NET 4.0, Hubspot Marketing Hub, Angularjs, Form Html Element, Teamtailor, Outlook, Hubspot Rss Feed, Underscore.js, Hubspot, New relic, Twitter, section.io, Sendgrid, Hubspot CMS, Mailchimp, Microsoft IIS 10.0, Microsoft exchange, GoToWebinar, Youtube Embed, Zendesk Chat, Ahrefs SEO tools, Facebook, AMP, Youtube, Bootstrap, Zendesk, Javascript, English, UNPKG, Linkedin Insight Tag, Amazon web services, Google play, Office365 email, Ruby, Stimulus, Jquery, Hubspot Sales, Tab Icon, Spanish, Google font api, Linkedin Analytics / Advertisement Pixel, Microsoft azure, Linkedin Sign-in, Facebook pixel, Font awesome, Microsoft asp.net, Linkedin, Global Site Tag, Facebook Share Button Plugin, HubSpot CMS Hub, Office 365, Website, Rackcache, Salesforce, AngularJS 1.5</t>
  </si>
  <si>
    <t>FRONT SYSTEMS AS</t>
  </si>
  <si>
    <t>NO991083413</t>
  </si>
  <si>
    <t>Lysaker torg 25</t>
  </si>
  <si>
    <t>www.frontsystems.no</t>
  </si>
  <si>
    <t>Mobile,Software,Information Technology,Retail Technology,Point of Sale,Retail,SaaS</t>
  </si>
  <si>
    <t>https://app.vainu.io/vainu/prospect/2558067/</t>
  </si>
  <si>
    <t>Segment, Doubleclick, Twitter, Appinsights, Webmercs, Google tag manager, Sendgrid, Jquery, Google adwords, Tab Icon, Mailchimp, Google maps, Microsoft exchange, Vimeo, Youtube Embed, Microsoft azure, Zendesk Chat, Facebook, TLS v1.1, Azure Application Insights, Apache, Satismeter, Youtube, Handlebars, Google analytics, Linkedin, Jquery 1.9, Global Site Tag, Microsoft asp.net, _("Responsive"), Norwegian, Html5, Craft Commerce, Form Html Element, Javascript, Smartyads, SSL/TLS, _("Online_Store"), Office 365, Website, TLS v1.0, Blog, Xhtml, Outlook, Vipps Payment, English, Apple Pay, Instagram, Digitroll, Office365 email</t>
  </si>
  <si>
    <t>FUTUREON AS</t>
  </si>
  <si>
    <t>NO916735472</t>
  </si>
  <si>
    <t>Kongens gate 11</t>
  </si>
  <si>
    <t>futureon.com</t>
  </si>
  <si>
    <t>Data Integration,Energy,Collaboration,Software,Information Technology,Risk Management,API,PaaS,Management Information Systems,Real Time,SaaS,Oil and Gas,Data Visualization,Enterprise Software</t>
  </si>
  <si>
    <t>https://app.vainu.io/vainu/prospect/7496941/</t>
  </si>
  <si>
    <t>PHP, Flash video, Twitter, Contact Form 7 Wordpress Plugin, Google tag manager, Webserver, Flash, Jquery, Tab Icon, TLS v1.2, Google PageSpeed 1.9, Google font api, Linkedin Analytics / Advertisement Pixel, Microsoft exchange, Vimeo, Youtube Embed, Gravatar, Linkedin Data Partner, Wordpress, Yoast SEO 16.4, Facebook, Apache, Youtube, Mysql, Cookiebot, Linkedin, jQuery Migrate, _("Responsive"), Bootstrap, Pinterest, Facebook Share Button Plugin, Google Site Verification, Select2, Form Html Element, Javascript, SSL/TLS, _("Online_Store"), Website, Outlook, Moment.js, Flickity, Yoast SEO, Drift Chat, OWL Carousel, wpBakery, Google pagespeed, Linkedin Insight Tag, Amazon web services, Office365 email, Bootstrap 11.0, Recaptcha</t>
  </si>
  <si>
    <t>GENUS AS</t>
  </si>
  <si>
    <t>NO979729022</t>
  </si>
  <si>
    <t>Strandveien 55</t>
  </si>
  <si>
    <t>www.genus.no</t>
  </si>
  <si>
    <t>Software,Enterprise,Consumer Software,Developer Tools,API,Developer Platform,Software Engineering,Management Information Systems,Information Technology,Application Performance Management,Enterprise Software,Enterprise Applications</t>
  </si>
  <si>
    <t>https://app.vainu.io/vainu/prospect/2097157/</t>
  </si>
  <si>
    <t>PHP, Twitter, DocFX, Google tag manager, Hubspot CMS, Sendgrid, Jquery, Tab Icon, TLS v1.2, Microsoft IIS, Hubspot Forms, Microsoft IIS 10.0, Google font api, GoToWebinar, Google maps, Vimeo, Microsoft exchange, Youtube Embed, Gravatar, Wordpress, Facebook, TLS v1.1, Cloudflare, Cookiebot, Mysql, Google analytics, Linkedin, Microsoft asp.net, Amazon CloudFront, jQuery Migrate, _("Responsive"), Facebook Share Button Plugin, Google Site Verification, Html5, Form Html Element, Javascript, SSL/TLS, WordPress 5.7, HubSpot CMS Hub, Office 365, Website, TLS v1.0, Nginx, DocFX 2.58, Outlook, Underscore.js 1.8, WordPress 5, OWL Carousel, Underscore.js, Instagram, Amazon web services, Jquery ui, Hubspot</t>
  </si>
  <si>
    <t>GLOBUS AI AS</t>
  </si>
  <si>
    <t>NO919664886</t>
  </si>
  <si>
    <t>Rådhusgata 6</t>
  </si>
  <si>
    <t>globus.ai</t>
  </si>
  <si>
    <t>Recruiting,Machine Learning,Software,Text Analytics,Analytics,Artificial Intelligence,Staffing Agency,Software Engineering,Information Technology,Human Resources</t>
  </si>
  <si>
    <t>https://app.vainu.io/vainu/prospect/665762240/</t>
  </si>
  <si>
    <t>PHP, Twitter, Google tag manager, Hubspot CMS, Atlassian Domain Verification, Jquery, Tab Icon, Facebook Like Button Plugin, Varnish, Hubspot Forms, Google font api, GoToWebinar, Linkedin Analytics / Advertisement Pixel, Vimeo, Microsoft exchange, Hotjar, Linkedin Data Partner, Wordpress, Facebook, Openresty, Facebook pixel, _("Responsive"), Google analytics, Linkedin, Google Site Verification, iubenda, Form Html Element, Javascript, Webflow, Website, Plyr 3.6, Nginx, Outlook, Plyr, Linkedin Insight Tag, Ecacc, Office365 email, Hubspot</t>
  </si>
  <si>
    <t>GREAT PEOPLE INSIDE AS</t>
  </si>
  <si>
    <t>NO919647736</t>
  </si>
  <si>
    <t>Olaf Helsets vei 5</t>
  </si>
  <si>
    <t>www.greatpeopleinside.com/no</t>
  </si>
  <si>
    <t>Recruiting,Talent Management,Skill Assessment,Software,Information Technology,Virtual Workforce,Career Planning,SaaS,Human Resources</t>
  </si>
  <si>
    <t>https://app.vainu.io/vainu/prospect/665798824/</t>
  </si>
  <si>
    <t>Dropbox, PHP, Flash video, Twitter, Active Campaign, Contact Form 7 Wordpress Plugin, Revslider, Atlassian Domain Verification, Jquery, Flash, Tab Icon, Vkontakte, TLS v1.2, Yoast SEO 14.5, Lightbox, Google font api, Microsoft exchange, Vimeo, Youtube Embed, Gravatar, Wordpress, Facebook, Slack, TLS v1.1, Revslider 5.4, Font awesome, Facebook Page Plugin, Apache, Youtube, Mysql, Intranet, Google analytics, Linkedin, jQuery Migrate, _("Responsive"), Pinterest, Google Site Verification, Form Html Element, Javascript, SSL/TLS, Tumblr, Office 365, Website, TLS v1.0, Whatsapp Website Icon, Blog, Outlook, WordPress 5, Yoast SEO, Office365 email</t>
  </si>
  <si>
    <t>En, Pt, Fr</t>
  </si>
  <si>
    <t>GREENBIRD INTEGRATION TECHNOLOGY AS</t>
  </si>
  <si>
    <t>NO994921142</t>
  </si>
  <si>
    <t>Storgata 1</t>
  </si>
  <si>
    <t>www.greenbird.com</t>
  </si>
  <si>
    <t>Internet of Things,Software,Analytics,Consulting,Real Time,Information Technology,Big Data</t>
  </si>
  <si>
    <t>https://app.vainu.io/vainu/prospect/2609648/</t>
  </si>
  <si>
    <t>PHP, GSAP, Twitter, Sdl tridion, Google tag manager, Hubspot CMS, Jquery, Tab Icon, TLS v1.2, Mailchimp, Hubspot Forms, Swiper Slider, Google maps, GoToWebinar, Linkedin Analytics / Advertisement Pixel, Google font api, Microsoft exchange, Youtube Embed, Linkedin Data Partner, Wordpress, Facebook, TLS v1.1, Apache, Cloudflare, Youtube, Google analytics, Linkedin, _("Responsive"), Global Site Tag, Google Site Verification, Zendesk, Html5, Hubspot Marketing Hub, Form Html Element, Modernizr, Javascript, SSL/TLS, HubSpot CMS Hub, Leadfeeder, Office 365, TLS v1.0, Website, Blog, Xhtml, Outlook, Drift Chat, Brighttalk, MailJet, Instagram, Linkedin Insight Tag, Office365 email, Hubspot, Lytics</t>
  </si>
  <si>
    <t>HAIVE AS</t>
  </si>
  <si>
    <t>NO915470998</t>
  </si>
  <si>
    <t>www.haive.ai</t>
  </si>
  <si>
    <t>Semantic Web,Internet,Web Development,Machine Learning,Software,Developer APIs,Search Engine,Artificial Intelligence,Developer Tools,Information Technology,Semantic Search,SaaS</t>
  </si>
  <si>
    <t>https://app.vainu.io/vainu/prospect/2394375/</t>
  </si>
  <si>
    <t>Dropbox, PHP, Flash video, Twitter, WP Engine, Spot.Im / Disgus, Google tag manager, Jquery, Flash, Tab Icon, TLS v1.2, Google font api, Microsoft exchange, Vimeo, Youtube Embed, Gravatar, Wordpress, Facebook, Yoast SEO 12.8, TLS v1.1, Mailgun, _("Responsive"), Youtube, Mysql, Intranet, Linkedin, Google Site Verification, Form Html Element, Javascript, Gravity Forms, SSL/TLS, Website, TLS v1.0, Whatsapp Website Icon, Nginx, Outlook, Yoast SEO, Office365 email</t>
  </si>
  <si>
    <t>HEADSHED AS</t>
  </si>
  <si>
    <t>NO912976041</t>
  </si>
  <si>
    <t>Nordre Berggate 2</t>
  </si>
  <si>
    <t>http://www.headshed.com/</t>
  </si>
  <si>
    <t>B2C,Customer Service,Software,Marketing,Virtual Workforce,Product Management,CRM,Small and Medium Businesses,Contact Management,Business Information Systems,Information Technology,B2B,Sales,SaaS</t>
  </si>
  <si>
    <t>https://app.vainu.io/vainu/prospect/2261261/</t>
  </si>
  <si>
    <t>PHP, Jquery mobile, Flash video, Twitter, Google tag manager, Jquery, Flash, Litespeed, Tab Icon, TLS v1.2, Divi, Mailchimp, Google font api, Vimeo, Youtube Embed, Wordpress, Facebook, Slack, TLS v1.1, Facebook pixel, _("Responsive"), Youtube, Mysql, Google analytics, Linkedin, jQuery Migrate, Pinterest, Global Site Tag, Google Site Verification, Form Html Element, Javascript, SSL/TLS, Website, TLS v1.0, Flickr, Gmail, WordPress 5, Instagram, Site Kit, Site Kit 1.41</t>
  </si>
  <si>
    <t>HOLTE AS</t>
  </si>
  <si>
    <t>NO982506395</t>
  </si>
  <si>
    <t>Kilden 1</t>
  </si>
  <si>
    <t>www.holte.no</t>
  </si>
  <si>
    <t>Construction,Software,Consumer Software,Facility Management,Management Information Systems,Information Technology</t>
  </si>
  <si>
    <t>https://app.vainu.io/vainu/prospect/2281696/</t>
  </si>
  <si>
    <t>PHP, Contact Form 7 Wordpress Plugin, Google tag manager, Docusign, Jquery, Tab Icon, Woocommerce, TLS v1.2, Mailchimp, Microsoft exchange, Vimeo, Apache 2.4, Underscore.js 1.13, Youtube Embed, Wordpress, Facebook, Byggsafe Total, TLS v1.1, Facebook pixel, Font awesome, Mailgun, Postmark, Apache, Ubuntu, Mysql, _("Responsive"), Linkedin, jQuery Migrate, Google Site Verification, Yoast SEO 17.0, Form Html Element, Javascript, SSL/TLS, eMarketeer, _("Online_Store"), SuperOffice CRM, Office 365, Website, TLS v1.0, Outlook, Yoast SEO, Fagtorget, WooCommerce 5.6, Underscore.js, Facebook Domain Verification, Office365 email, Olark</t>
  </si>
  <si>
    <t>IBEXA AS</t>
  </si>
  <si>
    <t>NO981601564</t>
  </si>
  <si>
    <t>Solligata 2</t>
  </si>
  <si>
    <t>www.ibexa.co</t>
  </si>
  <si>
    <t>B2C,E-Commerce,Internet,Product Search,CMS,Software,Consumer Software,Product Management,API,Information Technology,B2B,Semantic Web,Enterprise Software,SaaS</t>
  </si>
  <si>
    <t>https://app.vainu.io/vainu/prospect/1902671/</t>
  </si>
  <si>
    <t>PHP, Twitter, Google tag manager, Sendgrid, Jquery, Tab Icon, Varnish, TLS v1.2, Spanish, Microsoft exchange, Youtube Embed, French, Facebook, Cookiebot, Youtube, Extranet, Intranet, Google analytics, Linkedin, Japanese, Bootstrap, _("Responsive"), Html5, Form Html Element, Javascript, eZ Platform, SSL/TLS, German, Dynamics CRM Online, Website, Outlook, Amazon SES, English, Symfony, Amazon web services, Office365 email, Recaptcha</t>
  </si>
  <si>
    <t>Fr, Ja, Es, En, De</t>
  </si>
  <si>
    <t>IBOOKING AS</t>
  </si>
  <si>
    <t>NO996481867</t>
  </si>
  <si>
    <t>Nordstrandveien 65B</t>
  </si>
  <si>
    <t>BODØ</t>
  </si>
  <si>
    <t>ibooking.no</t>
  </si>
  <si>
    <t>Health Care,Software,Fitness</t>
  </si>
  <si>
    <t>https://app.vainu.io/vainu/prospect/2665107/</t>
  </si>
  <si>
    <t>PHP, Twitter, Craft CMS, Google tag manager, Google play, Jquery, Tab Icon, Varnish, TLS v1.2, Mailchimp, Bootstrap 4.4, Lightbox, Google font api, Vimeo, Apache 2.4, Youtube Embed, Wordpress, Adobe Typekit, Facebook, Facebook pixel, Font awesome, Mailgun, Apache, Youtube, Yui, _("Responsive"), Linkedin, jQuery Migrate, Bootstrap, Ubuntu, Google Site Verification, Zendesk, Html5, Form Html Element, jsDelivr, Javascript, Bootstrap 4.6, SSL/TLS, Yii, Office 365, Website, Flickr, Xhtml, Gmail, Apple App Store, Facebook Domain Verification, Instagram, MasterCard</t>
  </si>
  <si>
    <t>la, En, No</t>
  </si>
  <si>
    <t>IGNITE PROCUREMENT AS</t>
  </si>
  <si>
    <t>NO818464142</t>
  </si>
  <si>
    <t>Edvard Storms gate 2</t>
  </si>
  <si>
    <t>https://www.igniteprocurement.com/</t>
  </si>
  <si>
    <t>Software,Information Technology,Sourcing,Procurement,Contract Management,Management Information Systems,SaaS,B2B,Supply Chain Management,Enterprise Software</t>
  </si>
  <si>
    <t>https://app.vainu.io/vainu/prospect/333698248/</t>
  </si>
  <si>
    <t>Slick 1.8, Segment, PHP, Detectify, Twitter, Google tag manager, Hubspot CMS, Jquery, Tab Icon, Vidyard, TLS v1.2, Hubspot Forms, Google font api, GoToWebinar, Microsoft exchange, Vimeo, Hotjar, Youtube Embed, Facebook, Linkedin Sign-in, Heap, Oracle marketing cloud, Slack, TLS v1.1, Cloudflare, _("Responsive"), Intranet, Linkedin, Amazon CloudFront, Norwegian, Google Site Verification, Intercom, Nginx 1.19, Hubspot Marketing Hub, Form Html Element, Javascript, SSL/TLS, Slick, HubSpot CMS Hub, Office 365, Website, TLS v1.0, Nginx, Outlook, English, OWL Carousel, Instagram, Amazon web services, Office365 email, Hubspot</t>
  </si>
  <si>
    <t>IMERSO AS</t>
  </si>
  <si>
    <t>NO913347013</t>
  </si>
  <si>
    <t>c/o Epicenter Oslo Edvard Storms gate 2</t>
  </si>
  <si>
    <t>http://www.imerso.com/</t>
  </si>
  <si>
    <t>Architecture,Construction,Web Development,Software,Intelligent Systems,Cloud Computing,Enterprise,Property Development,Building Information Modeling (BIM),Artificial Intelligence,Facility Management,Virtual Workforce,Real Time,Real Estate,Information Technology,CAD,Smart Building,SaaS</t>
  </si>
  <si>
    <t>https://app.vainu.io/vainu/prospect/2674406/</t>
  </si>
  <si>
    <t>Twitter, Squarespace, Stimulus, Google tag manager, Tab Icon, TLS v1.2, Google font api, Facebook, TLS v1.1, _("Responsive"), Google analytics, akka-http, Linkedin, Global Site Tag, Intercom, Afterpay, Form Html Element, Javascript, Termly, SSL/TLS, Google Cloud, Website, TLS v1.0, Embed.Ly, Akka-Http 10.1, Xhtml, Gmail, Instagram, Akka HTTP, Akka HTTP 10.1</t>
  </si>
  <si>
    <t>INBARIO AS</t>
  </si>
  <si>
    <t>NO918342613</t>
  </si>
  <si>
    <t>Leistadvegen 3</t>
  </si>
  <si>
    <t>VIKHAMMER</t>
  </si>
  <si>
    <t>http://inbario.com/</t>
  </si>
  <si>
    <t>Software,Information Technology,Risk Management,Enterprise,Management Information Systems,SaaS,Enterprise Software</t>
  </si>
  <si>
    <t>https://app.vainu.io/vainu/prospect/326614409/</t>
  </si>
  <si>
    <t>PHP, Twitter, Contact Form 7 Wordpress Plugin, Tab Icon, TLS v1.2, Google font api, Gravatar, Wordpress, TLS problem, _("Responsive"), Apache, WordPress 5.6, Mysql, Html5, Form Html Element, Javascript, SSL/TLS, Website, WordPress 5</t>
  </si>
  <si>
    <t>INFRAKIT AS</t>
  </si>
  <si>
    <t>NO918720944</t>
  </si>
  <si>
    <t>c/o Spaces Nydalsveien 33</t>
  </si>
  <si>
    <t>www.infrakit.com</t>
  </si>
  <si>
    <t>Construction,Software,Information Technology,Management Information Systems,SaaS,B2B</t>
  </si>
  <si>
    <t>https://app.vainu.io/vainu/prospect/439729255/</t>
  </si>
  <si>
    <t>Sr, PHP, Twitter, Gravity Forms 2.4, WP Engine, Google tag manager, Finnish, Atlassian Domain Verification, Jquery, Flash, Tab Icon, TLS v1.2, Mailchimp, Google font api, Microsoft exchange, Youtube Embed, Gravatar, French, Wordpress, Adobe Typekit, Facebook, Dutch, TLS v1.1, Keen.Io Analytics, _("Responsive"), Youtube, Mysql, Google analytics, Linkedin, jQuery Migrate, Bootstrap, Global Site Tag, Norwegian, Google Site Verification, Html5, Nginx 1.10, Form Html Element, Paytrail, Javascript, Gravity Forms, German, SSL/TLS, Office 365, Website, TLS v1.0, Swedish, Nginx, Outlook, Atlassian, Yoast SEO, English, Bugsnag, GrooveHQ, Popper, Apple App Store, Popper 1.14, Amazon web services, Google play, Office365 email, Yoast SEO 12.7, Recaptcha</t>
  </si>
  <si>
    <t>Sv, Fi, nn, Fr, Nl, Es, En, No, De</t>
  </si>
  <si>
    <t>INTEGRATION X</t>
  </si>
  <si>
    <t>NO991253475</t>
  </si>
  <si>
    <t>Diplomvej 377 2800 KONGENS LYNGBY Danmark</t>
  </si>
  <si>
    <t>www.integration-x.com</t>
  </si>
  <si>
    <t>Digital Media,Content Discovery,Advertising,Software,Marketing,SaaS</t>
  </si>
  <si>
    <t>https://app.vainu.io/vainu/prospect/17275153/</t>
  </si>
  <si>
    <t>Dropbox, PHP, Flash video, Twitter, Google tag manager, Jquery, Flash, Tab Icon, TLS v1.2, Mailchimp, Google font api, Vimeo, Youtube Embed, Gravatar, Wordpress, Facebook, Slack, TLS v1.1, Apache, _("Responsive"), Mysql, Google analytics, jQuery Migrate, Yoast SEO 16.5, Google Site Verification, Zendesk, Form Html Element, Javascript, SSL/TLS, WordPress 5.7, Website, TLS v1.0, Google PageSpeed 1.13, Gmail, WordPress 5, Yoast SEO, Salesforce, Atlassian, Google pagespeed, Amazon web services</t>
  </si>
  <si>
    <t>INTRAWORK AS</t>
  </si>
  <si>
    <t>NO919365099</t>
  </si>
  <si>
    <t>Kirkegata 1B</t>
  </si>
  <si>
    <t>intra.work</t>
  </si>
  <si>
    <t>Video Chat,Collaboration,Software,Messaging,Information Technology,Virtual Workforce,Enterprise,Productivity Tools,Contact Management,Management Information Systems,SaaS,Meeting Software</t>
  </si>
  <si>
    <t>https://app.vainu.io/vainu/prospect/628120255/</t>
  </si>
  <si>
    <t>PHP, Twitter, Google tag manager, Jquery, Tab Icon, TLS v1.2, Google font api, Vimeo, Apache 2.4, Wordpress, Facebook, Apache, Ubuntu, Mysql, Google analytics, jQuery Migrate, Nginx 1.14, _("Responsive"), Global Site Tag, Google Site Verification, Form Html Element, Javascript, SSL/TLS, WordPress 5.8, Website, Embed.Ly, Flickr, Nginx, WordPress 5, Amazon SES, Apple App Store, Google play, Recaptcha</t>
  </si>
  <si>
    <t>IRONCLAD AS</t>
  </si>
  <si>
    <t>NO827657182</t>
  </si>
  <si>
    <t>Mikjelsbakken 7B</t>
  </si>
  <si>
    <t>ironcladapp.com</t>
  </si>
  <si>
    <t>Document Management,Software,SaaS,Enterprise,Operating Systems,Virtual Workforce,Contract Management,API,Legal Tech,Business Information Systems,Contact Management,Management Information Systems,Information Technology,Commercial,Enterprise Software,Legal</t>
  </si>
  <si>
    <t>https://app.vainu.io/vainu/prospect/2365125132/</t>
  </si>
  <si>
    <t>Dropbox, PHP, Twitter, gunicorn, WP Engine, Google Sign-in, Google tag manager, Jquery, Tab Icon, TLS v1.2, Mailchimp, AmazonS, Google maps, Google font api, Vimeo, Youtube Embed, Wordpress, Facebook, Slack, TLS v1.1, Appdynamics Cisco, _("Responsive"), ZOOM, Mysql, Google analytics, Marketo Forms 2, Crazy egg, Linkedin, Amazon CloudFront, Wistia, Wp rocket, Facebook Share Button Plugin, Google Site Verification, Zendesk, Lever, Modernizr, Form Html Element, jsDelivr, Javascript, SSL/TLS, Google Plus, Google Cloud, Office 365, Website, TLS v1.0, Marketo Forms, Salesforce Lightning Platform, Zurb foundation, Marketo, Gmail, Salesforce, Cxense, Instagram, Google Pay, Amazon web services, MasterCard, Algolia</t>
  </si>
  <si>
    <t>JOBTIP AS</t>
  </si>
  <si>
    <t>NO923884661</t>
  </si>
  <si>
    <t>Drammensveien 39</t>
  </si>
  <si>
    <t>Recruiting,Social Recruiting,Internet,Employment,Software,Information Technology,Career Planning,SaaS,Human Resources</t>
  </si>
  <si>
    <t>https://app.vainu.io/vainu/prospect/1863572453/</t>
  </si>
  <si>
    <t>Segment, PHP, Twitter, Typekit, WP Engine, Nginx 1.11, Google tag manager, Sendgrid, SendinBlue, Jquery, Tab Icon, Google adwords, Vkontakte, TLS v1.2, Mailchimp, Swiper Slider, Google font api, Linkedin Analytics / Advertisement Pixel, Vimeo, Youtube Embed, Linkedin Data Partner, Wordpress, Adobe Typekit, Facebook, TLS v1.1, Facebook pixel, _("Responsive"), Jobtip , Mysql, Google analytics, Linkedin, Youtube, jQuery Migrate, Global Site Tag, Wp rocket, Google Site Verification, Html5, Form Html Element, Autopilot, Javascript, SSL/TLS, Google Plus, Tumblr, Website, TLS v1.0, Whatsapp Website Icon, Nginx, Gmail, Underscore.js 1.8, Underscore.js, Facebook Domain Verification, Instagram, Linkedin Insight Tag, Elementor, Hubspot, Recaptcha</t>
  </si>
  <si>
    <t>JOIN21 AS</t>
  </si>
  <si>
    <t>NO919290153</t>
  </si>
  <si>
    <t>Bjønndalsveien 4</t>
  </si>
  <si>
    <t>HAGAN</t>
  </si>
  <si>
    <t>https://www.join21.com/</t>
  </si>
  <si>
    <t>Knowledge Management,Internet,Software,Talent Management,Analytics,Enterprise,Virtual Workforce,Employee Engagement,Consulting,Management Information Systems,Information Technology,Human Resources,Enterprise Software,SaaS</t>
  </si>
  <si>
    <t>https://app.vainu.io/vainu/prospect/592724849/</t>
  </si>
  <si>
    <t>PHP, Twitter, Active Campaign, Google tag manager, Atlassian Domain Verification, Jquery, Google font api, Microsoft exchange, Vimeo, Hotjar, Youtube Embed, Wordpress, Facebook, particles.js, Cloudflare, Youtube, ActiveCampaign, Mysql, Linkedin, jQuery Migrate, Bootstrap, _("Responsive"), Google Site Verification, Form Html Element, Javascript, WordPress 5.8, Office 365, Website, Outlook, WordPress 5, Amazon SES, OWL Carousel, Facebook Domain Verification, Office365 email</t>
  </si>
  <si>
    <t>JUST TECHNOLOGIES AS</t>
  </si>
  <si>
    <t>NO918907661</t>
  </si>
  <si>
    <t>c/o Escalon Services Norway Business Village Aker Brygge, 3. et Grundingen 6</t>
  </si>
  <si>
    <t>https://www.gojust.com/</t>
  </si>
  <si>
    <t>FinTech,Software,Information Technology,Analytics,Financial Services,SaaS,Enterprise Software,Finance</t>
  </si>
  <si>
    <t>https://app.vainu.io/vainu/prospect/485374124/</t>
  </si>
  <si>
    <t>PHP, Active Campaign, Google tag manager, Gatsby 2.19, Tab Icon, TLS v1.2, Mailchimp, Webpack, Hotjar, Netlify, Facebook, TLS v1.1, React, American Express, _("Responsive"), Google analytics, Linkedin, Google Site Verification, Html5, Form Html Element, Gatsby, Javascript, SSL/TLS, Leadfeeder, Website, TLS v1.0, Gmail, MailJet, MasterCard</t>
  </si>
  <si>
    <t>KAHU AS</t>
  </si>
  <si>
    <t>NO923433139</t>
  </si>
  <si>
    <t>c/o Karsten Huitfeldt Ankerveien 83</t>
  </si>
  <si>
    <t>kahua.com</t>
  </si>
  <si>
    <t>Computer,Construction,Collaboration,Software,Project Management,Information Technology,Enterprise,Contract Management,Management Information Systems,SaaS,Scheduling,Enterprise Software</t>
  </si>
  <si>
    <t>https://app.vainu.io/vainu/prospect/1751352820/</t>
  </si>
  <si>
    <t>PHP, Twitter, Google tag manager, Hubspot CMS, Atlassian Domain Verification, Gravity Forms 2.5, Jquery, Tab Icon, Varnish, Microsoft IIS, Hubspot Email, TLS v1.2, Freshdesk, Hubspot Forms, Spanish, Microsoft IIS 10.0, GoToWebinar, Google font api, Vimeo, Microsoft exchange, Youtube Embed, Gravatar, French, Wordpress, Facebook, Linkedin Sign-in, AMP, Font awesome, Cloudflare, _("Responsive"), Mysql, Google analytics, Linkedin, Microsoft asp.net, jQuery Migrate, Japanese, Wistia, Bootstrap, Google Site Verification, Html5, Microsoft ASP.NET 4.0, Hubspot Marketing Hub, Form Html Element, jsDelivr, Javascript, Gravity Forms, German, SSL/TLS, WordPress 5.7, HubSpot CMS Hub, Website, Blog, Nginx, Xhtml, Outlook, Chinese, WordPress 5, English, Apple App Store, Portuguese, Instagram, Jquery ui, Google play, Office365 email, Hubspot</t>
  </si>
  <si>
    <t>En, Zh, Ru</t>
  </si>
  <si>
    <t>KAMUDE AS</t>
  </si>
  <si>
    <t>NO917123845</t>
  </si>
  <si>
    <t>Brynsveien 12</t>
  </si>
  <si>
    <t>www.kamude.no</t>
  </si>
  <si>
    <t>Software,SaaS,Information Technology,Risk Management</t>
  </si>
  <si>
    <t>https://app.vainu.io/vainu/prospect/17296335/</t>
  </si>
  <si>
    <t>PHP, Google tag manager, Tab Icon, TLS v1.2, Google font api, Microsoft exchange, Kestrel, _("Responsive"), Youtube, Vue.js, Intranet, Microsoft asp.net, Linkedin, Google Site Verification, Javascript, SSL/TLS, Node.js, Google Plus, Website, Office 365, Nuxt.js, Outlook, Office365 email</t>
  </si>
  <si>
    <t>KEZZLER AS</t>
  </si>
  <si>
    <t>NO983594123</t>
  </si>
  <si>
    <t>Postboks 2311 Solli</t>
  </si>
  <si>
    <t>www.kezzler.com</t>
  </si>
  <si>
    <t>B2C,Consumer Software,Operating Systems,Developer Platform,Logistics,Supply Chain Management,Internet of Things,Software,Enterprise,API,Consumer Applications,RFID,Industry 4.0,Information Technology,B2B,Product Search,Blockchain,Real Time,SaaS,Enterprise Software</t>
  </si>
  <si>
    <t>https://app.vainu.io/vainu/prospect/2317398/</t>
  </si>
  <si>
    <t>PHP, Twitter, WP Engine, Google tag manager, Jquery, Flash, Tab Icon, TLS v1.2, GeneratePress, Google maps, Youtube Embed, Gravatar, Wordpress, GeneratePress 3.0, Facebook, Slack, TLS v1.1, Cloudflare, Youtube, Mysql, _("Responsive"), Linkedin, jQuery Migrate, Google Site Verification, Html5, Form Html Element, jsDelivr, Javascript, Gravity Forms, SSL/TLS, animate.css, Office 365, Website, TLS v1.0, Gmail, Salesforce, Recaptcha</t>
  </si>
  <si>
    <t>KINVER AS</t>
  </si>
  <si>
    <t>NO982018846</t>
  </si>
  <si>
    <t>Tordenskiolds gate 7</t>
  </si>
  <si>
    <t>www.kinver.no</t>
  </si>
  <si>
    <t>Supply Chain Management,Transportation,Software,Information Technology,Real Time,SaaS,Logistics</t>
  </si>
  <si>
    <t>https://app.vainu.io/vainu/prospect/2103018/</t>
  </si>
  <si>
    <t>Clipboard.js, PHP, Twitter, Google tag manager, Cookie Consent By Insites, Jquery, Tab Icon, TLS v1.2, Google maps, Microsoft exchange, Prism, Vimeo, Hotjar, Facebook, Osano, TLS v1.1, Cloudflare, _("Responsive"), Pinterest, Google analytics, Bootstrap, Norwegian, Facebook Share Button Plugin, Google Site Verification, Form Html Element, Cloudflare Browser Insights, Javascript, Teamtailor, SSL/TLS, Office 365, Website, TLS v1.0, MaxMind, Outlook, Flickity, English, Google Firebase, webCRM</t>
  </si>
  <si>
    <t>KITEMAKER AS</t>
  </si>
  <si>
    <t>NO922547297</t>
  </si>
  <si>
    <t>C/O Sigurd Seteklev Sletteveien 34</t>
  </si>
  <si>
    <t>kitemaker.co</t>
  </si>
  <si>
    <t>Software,Collaboration,Project Management,SaaS,Virtual Workforce,Developer Tools,Productivity Tools,Developer Platform,Contact Management,Management Information Systems,Information Technology,Enterprise Software,Task Management</t>
  </si>
  <si>
    <t>https://app.vainu.io/vainu/prospect/1611641636/</t>
  </si>
  <si>
    <t>FullStory, Segment, Detectify, Twitter, Google app engine, Active Campaign, Google tag manager, Jquery, Tab Icon, Varnish, TLS v1.2, Webpack, Google font api, Youtube Embed, Adobe Typekit, Openresty, Slack, React, Next.js, Stripe Online Payments, Youtube, _("Responsive"), Linkedin, Google Frontend, Google Site Verification, Intercom, Form Html Element, Javascript, SSL/TLS, Node.js, Webflow, Amplitude, Google Cloud, Website, Vercel, Blog, Nginx, Gmail</t>
  </si>
  <si>
    <t>LEAN-MANAGEMENT AS</t>
  </si>
  <si>
    <t>NO918905359</t>
  </si>
  <si>
    <t>Øvre Haukåsvegen 126</t>
  </si>
  <si>
    <t>ELNESVÅGEN</t>
  </si>
  <si>
    <t>kanbanize.com</t>
  </si>
  <si>
    <t>Software,Collaboration,Project Management,SaaS,Enterprise,Virtual Workforce,Productivity Tools,Software Engineering,Management Information Systems,Information Technology,Application Performance Management,Enterprise Software,Task Management</t>
  </si>
  <si>
    <t>https://app.vainu.io/vainu/prospect/479460992/</t>
  </si>
  <si>
    <t>PHP, Flash video, Twitter, Active Campaign, Google Sign-in, Google tag manager, Jquery, Flash, Tab Icon, Requirejs, TLS v1.2, Spanish, Google maps, Google font api, WordPress 5.5, Youtube Embed, Gravatar, French, Wordpress, Facebook, Slack, Apache, Youtube, Mysql, _("Responsive"), Linkedin, Facebook Share Button Plugin, Google Site Verification, Form Html Element, Javascript, German, SSL/TLS, Google Plus, Website, Braintree, Blog, WordPress 5, Amazon SES, English, Portuguese, Google Pay, Amazon web services, Google play, Hubspot, Recaptcha</t>
  </si>
  <si>
    <t>Pt, Fr, Es, En, De</t>
  </si>
  <si>
    <t>LEGIO MEDIA AS</t>
  </si>
  <si>
    <t>NO986492895</t>
  </si>
  <si>
    <t>Postboks 9245</t>
  </si>
  <si>
    <t>www.legiomedia.com</t>
  </si>
  <si>
    <t>Video,Video on Demand,Video Chat,Internet,Content Discovery,Software,Content Delivery Network,Operating Systems,Real Time,Video Streaming,File Sharing,SaaS</t>
  </si>
  <si>
    <t>https://app.vainu.io/vainu/prospect/2079130/</t>
  </si>
  <si>
    <t>Xhtml, Website, TLS v1.2, Form Html Element, Javascript, SSL/TLS, TLS v1.1, MasterCard, Cloudflare, _("Responsive"), Microsoft asp.net, TLS v1.0</t>
  </si>
  <si>
    <t>LINGIT AS</t>
  </si>
  <si>
    <t>NO983173209</t>
  </si>
  <si>
    <t>Professor Brochs gate 2</t>
  </si>
  <si>
    <t>www.lingit.no</t>
  </si>
  <si>
    <t>Software,EdTech,Education,Assistive Technology</t>
  </si>
  <si>
    <t>https://app.vainu.io/vainu/prospect/1955530/</t>
  </si>
  <si>
    <t>PHP, Flash video, Doubleclick, WP Engine, Google tag manager, Cookie Consent By Insites, Gravity Forms 2.5, Jquery, Flash, Tab Icon, Woocommerce, Microsoft IIS, TLS v1.2, Microsoft IIS 10.0, Google maps, Google font api, Microsoft exchange, Vimeo, Underscore.js 1.13, Youtube Embed, Wordpress, Kestrel, Facebook, TLS v1.1, Mailgun, _("Responsive"), Youtube, Mysql, Microsoft asp.net, jQuery Migrate, Bootstrap, Google Site Verification, Select2, Form Html Element, Javascript, Gravity Forms, SSL/TLS, eMarketeer, Slick, animate.css, _("Online_Store"), Website, TLS v1.0, Blog, Nginx, Outlook, Gmail, Yoast SEO, Yoast SEO 17.1, WooCommerce 5.6, Underscore.js, Instagram, Recaptcha</t>
  </si>
  <si>
    <t>LOOPIFY AS</t>
  </si>
  <si>
    <t>NO920369030</t>
  </si>
  <si>
    <t>Maries vei 16B</t>
  </si>
  <si>
    <t>HØVIK</t>
  </si>
  <si>
    <t>loopify.com</t>
  </si>
  <si>
    <t>B2C,Social CRM,Marketing Automation,Lead Management,Product Search,Customer Service,Advertising,Software,Marketing,CRM,Email Marketing,Small and Medium Businesses,Contact Management,Sales Automation,SaaS</t>
  </si>
  <si>
    <t>https://app.vainu.io/vainu/prospect/865095752/</t>
  </si>
  <si>
    <t>Dropbox, Heroku, PHP, Twitter, section.io, Google tag manager, Atlassian Domain Verification, Jquery, Tab Icon, Woocommerce, Varnish, TLS v1.2, Google font api, Linkedin Analytics / Advertisement Pixel, Vimeo, Gravatar, Linkedin Data Partner, Wordpress, Zendesk Chat, Facebook, AMP, TLS v1.1, Facebook pixel, Font awesome, Mailgun, Apache, Cloudflare, Mysql, American Express, Google analytics, Linkedin, Youtube, Global Site Tag, jQuery Migrate, Stripe Online Payments, Google Site Verification, Zendesk, Html5, Bootstrap, Yoast SEO 17.0, Angularjs, Form Html Element, Javascript, Shopify, SSL/TLS, Pinterest, _("Online_Store"), Website, TLS v1.0, Google PageSpeed 1.13, Gmail, WordPress 5, Yoast SEO, wpBakery, Visa, WooCommerce 5.6, Instagram, Google pagespeed, Amazon web services, Linkedin Insight Tag, MasterCard, Elementor, _("Responsive"), New relic</t>
  </si>
  <si>
    <t>LOYALTY COMMUNICATION AS</t>
  </si>
  <si>
    <t>NO926586335</t>
  </si>
  <si>
    <t>Willy Thoresens vei 37</t>
  </si>
  <si>
    <t>NESODDEN</t>
  </si>
  <si>
    <t>loyaltycommunication.com</t>
  </si>
  <si>
    <t>B2C,Social CRM,Marketing Automation,Customer Service,Software,Marketing,CRM,Customer Engagement,Small and Medium Businesses,Business Information Systems,SaaS,Loyalty Programs</t>
  </si>
  <si>
    <t>https://app.vainu.io/vainu/prospect/2325845513/</t>
  </si>
  <si>
    <t>PHP, Twitter, Active Campaign, Open web analytics, Contact Form 7 Wordpress Plugin, Google tag manager, Jquery, Tab Icon, Microsoft IIS, TLS v1.2, Microsoft IIS 10.0, Swiper Slider, Google font api, Vimeo, Youtube Embed, WordPress 5.1, Wordpress, Facebook, Slack, Font awesome, _("Responsive"), Mysql, Google analytics, Microsoft asp.net, jQuery Migrate, Bootstrap, Global Site Tag, Elementor 5.1, Zendesk, Html5, Getsitecontrol Chat, Form Html Element, Javascript, SSL/TLS, animate.css, Website, Xhtml, Gmail, WordPress 5, OWL Carousel, Amazon web services, elevio, Elementor</t>
  </si>
  <si>
    <t>LUMESSE AS</t>
  </si>
  <si>
    <t>NO881922142</t>
  </si>
  <si>
    <t>c/o Advokatfirmaet Schjødt AS Postboks 2444 Solli</t>
  </si>
  <si>
    <t>www.lumesse.com/no</t>
  </si>
  <si>
    <t>Recruiting,SaaS</t>
  </si>
  <si>
    <t>https://app.vainu.io/vainu/prospect/2740702/</t>
  </si>
  <si>
    <t>PHP, Yoast SEO 12.0, Twitter, Active Campaign, WordPress 5.2, Flowlu Cloud CRM, Revslider, Google tag manager, Twitter Ads, Jquery, Google adwords, Tab Icon, Leadforensics, TLS v1.2, Google remarketing, Google Conversion, Google font api, Linkedin Analytics / Advertisement Pixel, Microsoft exchange, Vimeo, Hotjar, Youtube Embed, jQuery 1.12, Wordpress, Facebook, Revslider 5.4, LeadPages, Pardot, Font awesome, jQuery UI 1.12, Responsive, Apache, Aurelia, Mysql, Google analytics, Linkedin, Youtube, Pinterest, Prettyphoto, jQuery Migrate, Html5, Modernizr, Form Html Element, Javascript, SSL/TLS, Slick, Facebook pixel, Drupal, Office 365, Website, Drupal 8, Blog, Nginx, Zurb foundation, Outlook, Moment.js, WordPress 5, Yoast SEO, Salesforce, Drift Chat, Salesforce marketing cloud, Clinch, Instagram, Yammer, Jquery ui, New relic</t>
  </si>
  <si>
    <t>LUMINODE AS</t>
  </si>
  <si>
    <t>NO919853336</t>
  </si>
  <si>
    <t>Høgaleitet 6</t>
  </si>
  <si>
    <t>KLEPPE</t>
  </si>
  <si>
    <t>luminode.ai</t>
  </si>
  <si>
    <t>B2C,E-Commerce,Product Search,Machine Learning,Software,Marketing,Information Technology,Artificial Intelligence,Retail Technology,Retail,Personalization,SaaS</t>
  </si>
  <si>
    <t>https://app.vainu.io/vainu/prospect/705269010/</t>
  </si>
  <si>
    <t>Pepyaka 1.19, Wix, Tab Icon, TLS v1.2, Pepyaka, Slack, TLS v1.1, React, _("Responsive"), lodash, Linkedin, Bootstrap, Form Html Element, Javascript, SSL/TLS, _("Online_Store"), Website, TLS v1.0, Whatsapp Website Icon, Outlook, Office365 email</t>
  </si>
  <si>
    <t>LYTTE TECHNOLOGY AS</t>
  </si>
  <si>
    <t>NO924880473</t>
  </si>
  <si>
    <t>Bryggegata 3</t>
  </si>
  <si>
    <t>www.lytte.io</t>
  </si>
  <si>
    <t>Speech Recognition,Video Chat,Knowledge Management,Software,Enterprise,Virtual Workforce,Artificial Intelligence,Productivity Tools,Real Time,SaaS</t>
  </si>
  <si>
    <t>https://app.vainu.io/vainu/prospect/2138697214/</t>
  </si>
  <si>
    <t>Jquery, Varnish, TLS v1.2, Google maps, Google font api, Vimeo, Adobe Typekit, Openresty, _("Responsive"), Google analytics, Linkedin, Google Site Verification, Form Html Element, Javascript, SSL/TLS, Webflow, Website, Embed.Ly, Nginx, Gmail</t>
  </si>
  <si>
    <t>MAKEPLANS AS</t>
  </si>
  <si>
    <t>NO817201342</t>
  </si>
  <si>
    <t>c/o Inspired AS Postboks 218 Sentrum</t>
  </si>
  <si>
    <t>makeplans.no</t>
  </si>
  <si>
    <t>E-Commerce,Internet,Service Industry,Software,Information Technology,Consumer Software,Online Portals,SaaS</t>
  </si>
  <si>
    <t>https://app.vainu.io/vainu/prospect/17285384/</t>
  </si>
  <si>
    <t>FastMail, Braintree Payments, Help Scout, Jquery, Tab Icon, TLS v1.2, AmazonS, Vimeo, TLS v1.1, Postmark, _("Responsive"), Amazon CloudFront, Google Site Verification, Html5, Javascript, SSL/TLS, Website, TLS v1.0, Blog, Amazon web services</t>
  </si>
  <si>
    <t>MANAG-E NORDIC AS</t>
  </si>
  <si>
    <t>NO981425391</t>
  </si>
  <si>
    <t>Postboks 443</t>
  </si>
  <si>
    <t>managenordic.no</t>
  </si>
  <si>
    <t>Information Services,SaaS,Information Technology</t>
  </si>
  <si>
    <t>https://app.vainu.io/vainu/prospect/2084428/</t>
  </si>
  <si>
    <t>PHP, GSAP, Twitter, Contact Form 7 Wordpress Plugin, Google tag manager, Jquery, Flash, Litespeed, Tab Icon, Facebook Like Button Plugin, TLS v1.2, Google maps, Google font api, Microsoft exchange, Vimeo, Youtube Embed, Gravatar, Wordpress, Facebook, Slack, TLS v1.1, Font awesome, _("Responsive"), Youtube, Mysql, Google analytics, Linkedin, jQuery Migrate, Bootstrap, Global Site Tag, Pinterest, Form Html Element, Javascript, SSL/TLS, animate.css, Office 365, Website, TLS v1.0, Addthis, Blog, Outlook, WordPress 5, OWL Carousel, Discover, wpBakery, Underscore.js, Office365 email, Recaptcha</t>
  </si>
  <si>
    <t>MANAGR. AS</t>
  </si>
  <si>
    <t>NO924831723</t>
  </si>
  <si>
    <t>Neseveien 54B</t>
  </si>
  <si>
    <t>MANDAL</t>
  </si>
  <si>
    <t>managr.ai</t>
  </si>
  <si>
    <t>Software,Information Technology,CRM,Sales Automation,Sales,SaaS</t>
  </si>
  <si>
    <t>https://app.vainu.io/vainu/prospect/2129704135/</t>
  </si>
  <si>
    <t>FullStory, Twitter, Squarespace Commerce, Squarespace, Stimulus, Tab Icon, TLS v1.2, Google font api, Facebook, TLS v1.1, _("Responsive"), Google analytics, Linkedin, Google Site Verification, Afterpay, Form Html Element, Javascript, SSL/TLS, Website, TLS v1.0, Embed.Ly, Xhtml, Drift Chat</t>
  </si>
  <si>
    <t>MATURIFY AS</t>
  </si>
  <si>
    <t>NO921312075</t>
  </si>
  <si>
    <t>c/o Dag Honningsvåg Marienlundveien 7</t>
  </si>
  <si>
    <t>maturify.com</t>
  </si>
  <si>
    <t>Knowledge Management,Machine Learning,Software,Information Technology,Virtual Workforce,Artificial Intelligence,Education,SaaS,Semantic Web</t>
  </si>
  <si>
    <t>https://app.vainu.io/vainu/prospect/1240328673/</t>
  </si>
  <si>
    <t>Twitter, Mouseflow, Google tag manager, Github.com, Jquery, Tab Icon, Varnish, TLS v1.2, AmazonS, Google maps, Google font api, Vimeo, Hotjar, Youtube Embed, Ruby on rails, Facebook, Slack, TLS v1.1, _("Responsive"), Youtube, Google analytics, Amazon CloudFront, Global Site Tag, Google Site Verification, Fastly, Form Html Element, Javascript, SSL/TLS, Website, TLS v1.0, GitHub Pages, Gmail, Amazon web services, Hubspot, Ruby</t>
  </si>
  <si>
    <t>MEDALLIA NORDIC AS</t>
  </si>
  <si>
    <t>NO989432516</t>
  </si>
  <si>
    <t>Vestvollveien 30A</t>
  </si>
  <si>
    <t>SKEDSMOKORSET</t>
  </si>
  <si>
    <t>medallia.com</t>
  </si>
  <si>
    <t>B2C,Semantic Web,Customer Experience,Machine Learning,Software,Text Analytics,Enterprise,Social Media,Customer Engagement,Natural Language Processing,Virtual Assistant,Knowledge Management,Customer Service,Artificial Intelligence,Information Technology,Intelligent Systems,Analytics,Virtual Workforce,Real Time,SaaS,Enterprise Software</t>
  </si>
  <si>
    <t>https://app.vainu.io/vainu/prospect/2037627/</t>
  </si>
  <si>
    <t>Heroku, PHP, Twitter, Typekit, Mindmatrix, Stimulus, Google tag manager, Docusign, Italian, Django, Bizible, Jquery, Korean, Tab Icon, Vkontakte, Viber Public Chat, TLS v1.2, Mailchimp, Google maps, Vimeo, Hotjar, Youtube Embed, Netlify, French, Polyfill, Wordpress, Adobe Typekit, Facebook, GlobalSign, TLS v1.1, cloudinary, Font awesome, Mailgun, Cloudflare, Youtube, Vue.js, Microsoft asp.net, Google analytics, Linkedin, Bootstrap, Japanese, _("Responsive"), Facebook Share Button Plugin, Bootstrap 4.3, Google Site Verification, Viber Share Button, Form Html Element, Javascript, German, SSL/TLS, Node.js, Cookielaw, Prismic.Io, Decibel Insight, Python, Recaptcha, Tumblr, Google Cloud, Office 365, Website, TLS v1.0, Whatsapp Website Icon, Nginx, Xhtml, Nuxt.js, Marketo, Salesforce Community, Gmail, Amazon SES, English, OneTrust, Instagram, Amazon web services, New relic</t>
  </si>
  <si>
    <t>Pt, It, la, Es, En, De</t>
  </si>
  <si>
    <t>MEDIABILITY AS</t>
  </si>
  <si>
    <t>NO922162980</t>
  </si>
  <si>
    <t>Lars Hilles gate 30</t>
  </si>
  <si>
    <t>BERGEN</t>
  </si>
  <si>
    <t>mediability.com</t>
  </si>
  <si>
    <t>Video,Digital Media,Internet,Content Discovery,Broadcasting,Content Delivery Network,Media and Entertainment,Software,Information Technology,Brand Marketing,Video Streaming,SaaS,Content</t>
  </si>
  <si>
    <t>https://app.vainu.io/vainu/prospect/1510902277/</t>
  </si>
  <si>
    <t>PHP, Twitter, Revslider 6.4, Typekit, WP Engine, Contact Form 7 Wordpress Plugin, Revslider, Google tag manager, Fontfaceobserver, Jquery, Tab Icon, TLS v1.2, Mailchimp, Google maps, Google font api, Vimeo, Youtube Embed, Gravatar, Wordpress, Adobe Typekit, Facebook, TLS v1.1, Facebook pixel, _("Responsive"), Youtube, Mysql, Google analytics, Linkedin, jQuery Migrate, Pinterest, Global Site Tag, Facebook Share Button Plugin, Google Site Verification, Html5, Zendesk, Form Html Element, Facebook Workplace, Javascript, SSL/TLS, Google Plus, Website, TLS v1.0, Blog, Nginx, Gmail, Underscore.js 1.8, Underscore.js, Instagram</t>
  </si>
  <si>
    <t>Sv, En, No</t>
  </si>
  <si>
    <t>MEDIUS AS</t>
  </si>
  <si>
    <t>NO995393271</t>
  </si>
  <si>
    <t>Rådhusgata 23</t>
  </si>
  <si>
    <t>www.mediusflow.com/nb-NO</t>
  </si>
  <si>
    <t>Software,Information Technology,Procurement,Contract Management,Business Information Systems,SaaS,B2B,Supply Chain Management,Management Information Systems</t>
  </si>
  <si>
    <t>https://app.vainu.io/vainu/prospect/2068388/</t>
  </si>
  <si>
    <t>Doubleclick, Twitter, Google tag manager, Sendgrid, Atlassian Domain Verification, Danish, Jquery, Google adwords, Tab Icon, TLS v1.2, jQuery 3.2, Microsoft IIS, Google Conversion, Google remarketing, Google maps, Hotjar, Linkedin Data Partner, Facebook, Dutch, Google Optimize 360, Slack, Azure Edge, Font awesome, _("Responsive"), Google analytics, Linkedin, Norwegian, Google Site Verification, Html5, Awesomplete, Form Html Element, jsDelivr, Javascript, SSL/TLS, Google Plus, Office 365, Website, Swedish, Font Awesome 4.7, Blog, Google Shopping, English, Microsoft IIS 8.5, Sitecore, Linkedin Insight Tag, ReachMee, Google adsense, OptinMonster</t>
  </si>
  <si>
    <t>MEETANDO AS</t>
  </si>
  <si>
    <t>NO925122718</t>
  </si>
  <si>
    <t>Håkonskastet 5</t>
  </si>
  <si>
    <t>BJØRNEMYR</t>
  </si>
  <si>
    <t>meetando.no</t>
  </si>
  <si>
    <t>Video Chat,Internet,Collaboration,Software,Information Technology,Virtual Workforce,Real Time,SaaS,Meeting Software</t>
  </si>
  <si>
    <t>https://app.vainu.io/vainu/prospect/2161840470/</t>
  </si>
  <si>
    <t>Heroku, Stimulus, Google tag manager, Jquery, Tab Icon, TLS v1.2, TLS v1.1, _("Responsive"), Google analytics, Global Site Tag, Google Site Verification, Html5, Form Html Element, Javascript, SSL/TLS, Website, TLS v1.0, Cowboy, Alpine.js</t>
  </si>
  <si>
    <t>MEISTER AS</t>
  </si>
  <si>
    <t>NO915706606</t>
  </si>
  <si>
    <t>Føllingstads veg 33</t>
  </si>
  <si>
    <t>meisterlabs.com</t>
  </si>
  <si>
    <t>Internet,Software,Collaboration,SaaS,Enterprise,Virtual Workforce,Developer Tools,Consumer Software,Enterprise Applications,Productivity Tools,Contact Management,Management Information Systems,Real Time,Information Technology,Application Performance Management,Enterprise Software,Task Management</t>
  </si>
  <si>
    <t>https://app.vainu.io/vainu/prospect/1863301/</t>
  </si>
  <si>
    <t>Dropbox, PHP, Flash video, Twitter, Contact Form 7 Wordpress Plugin, Yoast SEO 16.7, Google tag manager, Jquery, Flash, Tab Icon, TLS v1.2, Mailchimp, Google maps, Vimeo, Youtube Embed, Gravatar, Yoast SEO 15.0, Wordpress, Facebook, Slack, TLS v1.1, Cloudflare, Youtube, Mysql, Intranet, Google analytics, Linkedin, _("Responsive"), Wp rocket, Pinterest, Google Site Verification, Html5, Form Html Element, Disqus, Javascript, German, SSL/TLS, animate.css, Amplitude, Google Cloud, Office 365, Website, TLS v1.0, Whatsapp Website Icon, Blog, Gmail, Yoast SEO, English, Paperform, Facebook Domain Verification, Instagram, Convertplug</t>
  </si>
  <si>
    <t>MELTWATER NEWS AS</t>
  </si>
  <si>
    <t>NO983803075</t>
  </si>
  <si>
    <t>Møllergata 23</t>
  </si>
  <si>
    <t>www.meltwater.com</t>
  </si>
  <si>
    <t>https://app.vainu.io/vainu/prospect/17314058/</t>
  </si>
  <si>
    <t>PHP, Twitter, Active Campaign, Google tag manager, Finnish, Atlassian Domain Verification, Google adwords, Tab Icon, TLS v1.2, Google remarketing, Google Conversion, Google maps, Linkedin Analytics / Advertisement Pixel, Microsoft exchange, Vimeo, Hotjar, Youtube Embed, Box, French, Linkedin Data Partner, Wordpress, Facebook, Google Optimize 360, Slack, Facebook pixel, Force.com, Apache, Youtube, _("Responsive"), Google analytics, Linkedin, Japanese, Quora, Pinterest, Facebook Share Button Plugin, Google Site Verification, Sourcebuster, Intercom, Zendesk, Form Html Element, Javascript, German, SSL/TLS, Prismic.Io, Office 365, Website, Meltwater, Vercel, Outlook, Marketo, Gmail, Chinese, Google Shopping, English, Dynect, Instagram, Linkedin Insight Tag, Amazon web services, Google play, Google adsense</t>
  </si>
  <si>
    <t>Fi, Fr, Ja, En, De</t>
  </si>
  <si>
    <t>MESIER AS</t>
  </si>
  <si>
    <t>NO818773862</t>
  </si>
  <si>
    <t>c/o Bjørn Woxen Stubberud Kverndalslinna 151</t>
  </si>
  <si>
    <t>GRAN</t>
  </si>
  <si>
    <t>https://app.vainu.io/vainu/prospect/485268862/</t>
  </si>
  <si>
    <t>METAFORCE AS</t>
  </si>
  <si>
    <t>NO918626743</t>
  </si>
  <si>
    <t>Øvre Møllenberg gate 74</t>
  </si>
  <si>
    <t>Customer Service,Customer Experience,Software,Cloud Computing,Information Technology,Enterprise,Customer Engagement,Contact Management,Business Information Systems,SaaS,Management Information Systems</t>
  </si>
  <si>
    <t>https://app.vainu.io/vainu/prospect/425102411/</t>
  </si>
  <si>
    <t>GSAP, Squarespace, Stimulus, Sendgrid, Jquery, Hubspot Sales, Tab Icon, Hubspot Meetings Plugin, TLS v1.2, Google font api, Linkedin Analytics / Advertisement Pixel, Microsoft exchange, Vimeo, Hotjar, Linkedin Data Partner, Adobe Typekit, Facebook, TLS v1.1, Font awesome, _("Responsive"), Google analytics, Linkedin, Bootstrap, Google Site Verification, Afterpay, Form Html Element, Javascript, SSL/TLS, Website, TLS v1.0, Xhtml, Outlook, Bootstrap 4.2, Linkedin Insight Tag, Office365 email, Hubspot, Ponty</t>
  </si>
  <si>
    <t>MINUBA AS</t>
  </si>
  <si>
    <t>NO919454792</t>
  </si>
  <si>
    <t>c/o On Time Regnskap AS Holbergs gate 1</t>
  </si>
  <si>
    <t>minuba.no</t>
  </si>
  <si>
    <t>Billing,Software,SaaS,Information Technology</t>
  </si>
  <si>
    <t>https://app.vainu.io/vainu/prospect/647802603/</t>
  </si>
  <si>
    <t>PHP, Flash video, Twitter, Google tag manager, Jquery, Flash, Tab Icon, Facebook Like Button Plugin, TLS v1.2, Lightbox, Vimeo, Apache 2.4, Youtube Embed, Gravatar, Wordpress, Facebook, jQuery UI 1.12, Apache, Youtube, Mysql, Google analytics, Linkedin, jQuery Migrate, Ubuntu, Global Site Tag, _("Responsive"), Bootstrap, Facebook Share Button Plugin, Html5, Form Html Element, jsDelivr, Javascript, SSL/TLS, animate.css, Website, Yoast SEO, Yoast SEO 17.1, Facebook Domain Verification, Jquery ui, Recaptcha, Moove Cookie Consent</t>
  </si>
  <si>
    <t>MISSINGX AS</t>
  </si>
  <si>
    <t>NO982119049</t>
  </si>
  <si>
    <t>Smalvollveien 44</t>
  </si>
  <si>
    <t>Martin Linges vei 25</t>
  </si>
  <si>
    <t>www.missingx.com</t>
  </si>
  <si>
    <t>Service Industry,Property Management,Software,Information Technology,Mobile Apps,Management Information Systems,Real Estate,SaaS</t>
  </si>
  <si>
    <t>https://app.vainu.io/vainu/prospect/1912744/</t>
  </si>
  <si>
    <t>PHP, Twitter, Google Sign-in, Cookie Consent By Insites, SendinBlue, Jquery, Tab Icon, TLS v1.2, Facebook, Osano, New relic, Font awesome, _("Responsive"), Google analytics, Linkedin, Bootstrap, Google Site Verification, Html5, Form Html Element, Javascript, SSL/TLS, Google Plus, Slick, Office 365, Website, MaxMind, Gmail, Google Pay, Jquery ui, Recaptcha</t>
  </si>
  <si>
    <t>Sv, Cy, Fr, Nl, Es, En, No, De</t>
  </si>
  <si>
    <t>MIXMOVE AS</t>
  </si>
  <si>
    <t>NO819529272</t>
  </si>
  <si>
    <t>mixmove.io</t>
  </si>
  <si>
    <t>Sustainability,Transportation,Software,Information Technology,Supply Chain Management,SaaS,Logistics</t>
  </si>
  <si>
    <t>https://app.vainu.io/vainu/prospect/643919761/</t>
  </si>
  <si>
    <t>PHP, Twitter, Google tag manager, Hubspot CMS, Atlassian Domain Verification, Jquery, TLS v1.2, Hubspot Forms, Google maps, Google font api, GoToWebinar, Linkedin Analytics / Advertisement Pixel, Vimeo, Hotjar, Youtube Embed, Linkedin Data Partner, Wordpress, Facebook, Linkedin Sign-in, Slack, TLS v1.1, AMP, Facebook pixel, Cloudflare, Youtube, _("Responsive"), Google analytics, Linkedin, Amazon CloudFront, Facebook Share Button Plugin, Google Site Verification, Html5, Zendesk, Hubspot Marketing Hub, Form Html Element, Javascript, SSL/TLS, Slick, HubSpot CMS Hub, Website, TLS v1.0, Gmail, Linkedin Insight Tag, Amazon web services, Hubspot</t>
  </si>
  <si>
    <t>MJOLL AS</t>
  </si>
  <si>
    <t>NO922163375</t>
  </si>
  <si>
    <t>mjoll.no</t>
  </si>
  <si>
    <t>Content Delivery Network,Software,Cloud Computing,Information Technology,Operating Systems,SaaS,Enterprise Software</t>
  </si>
  <si>
    <t>https://app.vainu.io/vainu/prospect/1510915274/</t>
  </si>
  <si>
    <t>PHP, Twitter, WP Engine, Contact Form 7 Wordpress Plugin, Revslider, Google tag manager, Jquery, Tab Icon, TLS v1.2, Mailchimp, Lightbox, Google font api, Microsoft exchange, Vimeo, Youtube Embed, Wordpress, Facebook, Monsterinsights, TLS v1.1, Facebook pixel, Force.com, _("Responsive"), Youtube, Mysql, Google analytics, Linkedin, Prettyphoto, jQuery Migrate, Pinterest, Facebook Share Button Plugin, Google Site Verification, Zendesk, Form Html Element, Javascript, SSL/TLS, animate.css, _("Online_Store"), Website, TLS v1.0, Nginx, Outlook, Gmail, Underscore.js 1.8, OWL Carousel, Underscore.js, Instagram, Revslider 6.5, Recaptcha, Calendly</t>
  </si>
  <si>
    <t>MOCHADOCS NORDICS AS</t>
  </si>
  <si>
    <t>NO993373338</t>
  </si>
  <si>
    <t>Ekeberggata 22</t>
  </si>
  <si>
    <t>www.mochadocs.com/no/</t>
  </si>
  <si>
    <t>Internet,Software,Information Technology,Consumer Software,Small and Medium Businesses,Contact Management,SaaS</t>
  </si>
  <si>
    <t>https://app.vainu.io/vainu/prospect/1771458/</t>
  </si>
  <si>
    <t>PHP, Twitter, Mouseflow, Google tag manager, Hubspot CMS, Jquery, Tab Icon, Hubspot Forms, Google font api, GoToWebinar, SlideShare, Microsoft exchange, Hotjar, Facebook, Linkedin Sign-in, Font awesome, Cloudflare, _("Responsive"), Hubspot, Google analytics, Amazon CloudFront, Wistia, Html5, Hubspot Marketing Hub, Form Html Element, Javascript, Google Plus, HubSpot CMS Hub, Office 365, Website, Outlook, Amazon SES, Adobe Experience Manager, Java, UNPKG, Amazon web services, MasterCard, Office365 email, Leaflet</t>
  </si>
  <si>
    <t>En, Nl, De</t>
  </si>
  <si>
    <t>MOJOB NORGE AS</t>
  </si>
  <si>
    <t>NO915161804</t>
  </si>
  <si>
    <t>Grensen 17</t>
  </si>
  <si>
    <t>www.mojob.io</t>
  </si>
  <si>
    <t>Recruiting,Social Recruiting,Internet,Employment,Software,Information Technology,Virtual Workforce,SaaS,Human Resources</t>
  </si>
  <si>
    <t>https://app.vainu.io/vainu/prospect/1875688/</t>
  </si>
  <si>
    <t>Vuetify, PHP, Flash video, Google tag manager, Tab Icon, TLS v1.2, Google maps, Google font api, Vimeo, Youtube Embed, Facebook, Facebook pixel, Nginx 1.15, Vue.js, _("Responsive"), Wistia, Facebook Share Button Plugin, Google Site Verification, Intercom, jsDelivr, Javascript, Smartyads, SSL/TLS, Node.js, Website, Nuxt.js, Nginx, Gmail, Facebook Domain Verification, Amazon web services, Google play</t>
  </si>
  <si>
    <t>MOMENT TEAM AS</t>
  </si>
  <si>
    <t>NO996770869</t>
  </si>
  <si>
    <t>moment.team</t>
  </si>
  <si>
    <t>Software,Collaboration,Project Management,SaaS,Enterprise,Virtual Workforce,Productivity Tools,Sales,Software Engineering,Management Information Systems,Information Technology,B2B,Application Performance Management,Enterprise Software,Task Management</t>
  </si>
  <si>
    <t>https://app.vainu.io/vainu/prospect/2260382/</t>
  </si>
  <si>
    <t>PHP, Google tag manager, Hubspot CMS, Jquery, Tab Icon, TLS v1.2, Mailchimp, Freshdesk, Hubspot Forms, Google font api, GoToWebinar, Vimeo, Youtube Embed, Facebook, Linkedin Sign-in, TLS v1.1, React, Cloudflare, Youtube, _("Responsive"), Google analytics, Icelandic, Linkedin, Amazon CloudFront, Norwegian, Google Site Verification, Freshdesk Freshchat, Hubspot Marketing Hub, Form Html Element, Javascript, SSL/TLS, HubSpot CMS Hub, Amplitude, Website, Swedish, TLS v1.0, Snapchat, Gmail, English, Google Firebase, OWL Carousel, Instagram, Amazon web services, Hubspot, Recaptcha</t>
  </si>
  <si>
    <t>MOTIMATE AS</t>
  </si>
  <si>
    <t>NO917385947</t>
  </si>
  <si>
    <t>c/o Aller Media AS Karvesvingen 1</t>
  </si>
  <si>
    <t>https://about.motimateapp.com/</t>
  </si>
  <si>
    <t>Apps,Mobile,Software,EdTech,E-Learning,Education,Mobile Apps</t>
  </si>
  <si>
    <t>https://app.vainu.io/vainu/prospect/38017920/</t>
  </si>
  <si>
    <t>Squarespace Commerce, Squarespace, Google tag manager, Hubspot CMS, Jquery, Tab Icon, TLS v1.2, Hubspot Forms, Google font api, GoToWebinar, Vimeo, Youtube Embed, Adobe Typekit, Facebook, TLS v1.1, Facebook pixel, Cloudflare, Youtube, Intranet, _("Responsive"), Linkedin, Html5, Afterpay, Form Html Element, Javascript, SSL/TLS, Website, TLS v1.0, Xhtml, Instagram, Google play, Hubspot</t>
  </si>
  <si>
    <t>MYPRODUCTION AS</t>
  </si>
  <si>
    <t>NO914546842</t>
  </si>
  <si>
    <t>Postboks 353</t>
  </si>
  <si>
    <t>MOSS</t>
  </si>
  <si>
    <t>myproduction.no</t>
  </si>
  <si>
    <t>Software,Manufacturing</t>
  </si>
  <si>
    <t>https://app.vainu.io/vainu/prospect/2744486/</t>
  </si>
  <si>
    <t>Dropbox, Adform, Flash video, Twitter, PHP, Spot.Im / Disgus, Jquery, Flash, Tab Icon, Vkontakte, Microsoft IIS, TLS v1.2, Microsoft IIS 10.0, Linkedin Analytics / Advertisement Pixel, Microsoft exchange, Vimeo, Youtube Embed, Yoast SEO 14.2, Gravatar, Wordpress, Facebook, GlobalSign, TLS v1.1, Facebook pixel, Apache, _("Responsive"), Mysql, Microsoft asp.net, Linkedin, Wp rocket, Pinterest, Global Site Tag, Norwegian, Form Html Element, Javascript, Gravity Forms, SSL/TLS, Tumblr, Leadfeeder, Office 365, TLS v1.0, Website, Swedish, Whatsapp Website Icon, Outlook, WordPress 5, Yoast SEO, English, Office365 email, Recaptcha</t>
  </si>
  <si>
    <t>Moment Team AS</t>
  </si>
  <si>
    <t>NO996793621</t>
  </si>
  <si>
    <t>Collaboration,Software,Project Management,Information Technology,Enterprise,Virtual Workforce,Productivity Tools,Sales,Software Engineering,Management Information Systems,SaaS,B2B,Application Performance Management,Enterprise Software,Task Management</t>
  </si>
  <si>
    <t>https://app.vainu.io/vainu/prospect/2160147093/</t>
  </si>
  <si>
    <t>NAVIGA AS</t>
  </si>
  <si>
    <t>NO877097412</t>
  </si>
  <si>
    <t>Postboks 2734 Solli</t>
  </si>
  <si>
    <t>Publishing,Digital Media,Mobile,CMS,Software,Information Technology,SaaS,Content,Enterprise Software</t>
  </si>
  <si>
    <t>https://app.vainu.io/vainu/prospect/17304574/</t>
  </si>
  <si>
    <t>PHP, Twitter, Contact Form 7 Wordpress Plugin, Revslider, Google tag manager, Joomla 1.5, Jquery, Google adwords, Tab Icon, Mailchimp, Lightbox, Google maps, Google font api, Microsoft exchange, Vimeo, Apache 2.4, Youtube Embed, Gravatar, Wordpress, Facebook, Prototype, Font awesome, Nginx 1.15, Apache, Extranet, Mysql, Intranet, Google analytics, Linkedin, Global Site Tag, jQuery Migrate, _("Responsive"), Bootstrap, Modernizr, Form Html Element, Choices, Javascript, Openssl, Office 365, Website, Mootools, Whatsapp Website Icon, Nginx, Xhtml, Flickr, Outlook, WordPress 5, Yoast SEO, OpenSSL 1.0, Atlassian confluence, Java, Yoast SEO 17.1, Joomla, Mimecast, Underscore.js, Amazon web services, Php 7.3, Centos, Revslider 6.5, Recaptcha</t>
  </si>
  <si>
    <t>En, It</t>
  </si>
  <si>
    <t>NAVUS AS</t>
  </si>
  <si>
    <t>NO940091772</t>
  </si>
  <si>
    <t>c/o Elis Elektro AS Jerikoveien 16</t>
  </si>
  <si>
    <t>navus.io</t>
  </si>
  <si>
    <t>Events,Event Management,Software,Information Technology,SaaS,Meeting Software</t>
  </si>
  <si>
    <t>https://app.vainu.io/vainu/prospect/2077652/</t>
  </si>
  <si>
    <t>PHP, Contact Form 7 Wordpress Plugin, Google tag manager, Jquery, Tab Icon, TLS v1.2, Php 7.4, Google maps, Google font api, Vimeo, Apache 2.4, Youtube Embed, Wordpress, Facebook, Apache, Cloudflare, Mysql, Google analytics, Linkedin, Youtube, jQuery Migrate, Global Site Tag, _("Responsive"), Pinterest, Form Html Element, Javascript, Smartyads, SSL/TLS, Openssl, animate.css, Office 365, Website, WordPress 5, OpenSSL 1.0, Amazon SES, OWL Carousel, wpBakery, Instagram, Amazon web services, Centos, Recaptcha</t>
  </si>
  <si>
    <t>NEMS AS</t>
  </si>
  <si>
    <t>NO940598117</t>
  </si>
  <si>
    <t>Postboks 6852</t>
  </si>
  <si>
    <t>www.n-ems.com</t>
  </si>
  <si>
    <t>Software,Information Technology,Consumer Software,Management Information Systems,SaaS,Oil and Gas</t>
  </si>
  <si>
    <t>https://app.vainu.io/vainu/prospect/1771904/</t>
  </si>
  <si>
    <t>Twitter, Stimulus, Google tag manager, Hubspot CMS, Jquery, Tab Icon, TLS v1.2, Hubspot Forms, Google font api, GoToWebinar, Microsoft exchange, Youtube Embed, Wordpress, Facebook, Linkedin Sign-in, AMP, TLS v1.1, Cloudflare, Youtube, _("Responsive"), Google analytics, Linkedin, jQuery Migrate, Amazon CloudFront, Hubspot Marketing Hub, Form Html Element, Javascript, SSL/TLS, Google Plus, HubSpot CMS Hub, Sustainability Report, Office 365, Website, TLS v1.0, Blog, Outlook, Amazon SES, Amazon web services, Office365 email, Hubspot</t>
  </si>
  <si>
    <t>Nb, En, No, Da</t>
  </si>
  <si>
    <t>NEPTUNE SOFTWARE AS</t>
  </si>
  <si>
    <t>NO997188829</t>
  </si>
  <si>
    <t>Postboks 1778 Vika</t>
  </si>
  <si>
    <t>http://www.neptune-software.com/</t>
  </si>
  <si>
    <t>Apps,Consumer Applications,Software,Cloud Computing,Consumer Software,Operating Systems,API,PaaS,Mobile Apps,Software Engineering,Management Information Systems,Information Technology,Application Performance Management,Enterprise Software,Enterprise Applications</t>
  </si>
  <si>
    <t>https://app.vainu.io/vainu/prospect/2419296/</t>
  </si>
  <si>
    <t>Slick 1.8, PHP, Doubleclick, Twitter, WP Engine, Oktopost, Act-on, Google tag manager, Atlassian Domain Verification, Jquery, Google adwords, Tab Icon, TLS v1.2, Mailchimp, Freshdesk, Google maps, Google font api, Linkedin Analytics / Advertisement Pixel, Microsoft exchange, Vimeo, Youtube Embed, Linkedin Data Partner, Wordpress, Act On, Facebook, TLS problem, Openresty, TLS v1.1, Slack, Facebook pixel, SAP Software Solutions, Font awesome, Stripe Online Payments, Youtube, Mysql, Google analytics, Linkedin, jQuery Migrate, Nginx 1.14, Global Site Tag, Wistia, Ubuntu, Facebook Share Button Plugin, Google Site Verification, Html5, Intercom, Bootstrap, Form Html Element, Javascript, SSL/TLS, Slick, animate.css, Office 365, Website, TLS v1.0, Nginx, Outlook, Salesforce, wpBakery, Bootstrap 4.7, OpenUI5, Instagram, Linkedin Insight Tag, Office365 email, _("Responsive"), Thinkific</t>
  </si>
  <si>
    <t>NETLIFE AS</t>
  </si>
  <si>
    <t>NO983501605</t>
  </si>
  <si>
    <t>Postboks 9</t>
  </si>
  <si>
    <t>FØRDE</t>
  </si>
  <si>
    <t>netlife.no</t>
  </si>
  <si>
    <t>E-Commerce,Internet,Photography,Software,Contact Management,SaaS,B2B</t>
  </si>
  <si>
    <t>https://app.vainu.io/vainu/prospect/2340559/</t>
  </si>
  <si>
    <t>Website, PHP, Youtube Embed, Typekit, Form Html Element, Adobe Typekit, Facebook, Javascript, Jquery, Apache, Youtube, _("Responsive"), Freshdesk, Google font api</t>
  </si>
  <si>
    <t>NORSK BYGGTJENESTE AS</t>
  </si>
  <si>
    <t>NO910934538</t>
  </si>
  <si>
    <t>Postboks 6823 St. Olavs Plass</t>
  </si>
  <si>
    <t>www.byggtjeneste.no</t>
  </si>
  <si>
    <t>Construction,Software,Infrastructure,Information Technology,Management Information Systems,Real Time,SaaS</t>
  </si>
  <si>
    <t>https://app.vainu.io/vainu/prospect/2132781/</t>
  </si>
  <si>
    <t>PHP, Flash video, Typekit, Contact Form 7 Wordpress Plugin, Google tag manager, Jquery, Flash, Tab Icon, Google adwords, Backbone.js, Microsoft IIS, TLS v1.2, Microsoft IIS 10.0, Google maps, Google font api, Linkedin Analytics / Advertisement Pixel, SlideShare, Vimeo, Microsoft exchange, Youtube Embed, Hotjar, Linkedin Data Partner, Wordpress, Adobe Typekit, Facebook, Slack, TLS v1.1, Facebook pixel, Font awesome, _("Responsive"), Youtube, Mysql, Google analytics, Linkedin, Microsoft asp.net, jQuery Migrate, Global Site Tag, Bootstrap, Pinterest, Facebook Share Button Plugin, Google Site Verification, Microsoft ASP.NET 4.0, Form Html Element, Javascript, SSL/TLS, Google Plus, animate.css, SuperOffice CRM, Office 365, Website, TLS v1.0, Flickr, Nginx, Outlook, Underscore.js 1.8, WordPress 5, Apple App Store, Underscore.js, Linkedin Insight Tag, Facebook Domain Verification, Google play, Office365 email</t>
  </si>
  <si>
    <t>NUMASCALE AS</t>
  </si>
  <si>
    <t>NO992462787</t>
  </si>
  <si>
    <t>Innspurten 15</t>
  </si>
  <si>
    <t>www.numascale.com</t>
  </si>
  <si>
    <t>Data Storage,Software,Cloud Computing,Analytics,Operating Systems,Real Time,Information Technology,Data Center,Big Data,Data Center Automation</t>
  </si>
  <si>
    <t>https://app.vainu.io/vainu/prospect/2693375/</t>
  </si>
  <si>
    <t>PHP, Contact Form 7 Wordpress Plugin, Revslider, Jquery, Flash, Tab Icon, TLS v1.2, Lightbox, Php 7.4, Google font api, Microsoft exchange, Vimeo, Apache 2.4, Underscore.js 1.13, Youtube Embed, Gravatar, Wordpress, Slack, Font awesome, Apache, _("Responsive"), Mysql, Google analytics, Linkedin, jQuery Migrate, Bootstrap, Wp rocket, Wistia, Pinterest, Google Site Verification, Form Html Element, Javascript, SSL/TLS, Openssl, animate.css, _("Online_Store"), Website, Outlook, WordPress 5, OpenSSL 1.0, OWL Carousel, Underscore.js, Centos, Office365 email, Revslider 6.5, Recaptcha</t>
  </si>
  <si>
    <t>NUMUS AS</t>
  </si>
  <si>
    <t>NO922117241</t>
  </si>
  <si>
    <t>c/o Enbras AS Malurtveien 8</t>
  </si>
  <si>
    <t>STABEKK</t>
  </si>
  <si>
    <t>numus.no</t>
  </si>
  <si>
    <t>FinTech,Apps,Software,Personal Finance,Financial Services,Finance</t>
  </si>
  <si>
    <t>https://app.vainu.io/vainu/prospect/1495684411/</t>
  </si>
  <si>
    <t>PHP, Twitter, Jquery sparklines, Amcharts, Google play, Jquery, Tab Icon, TLS v1.2, Bootstrap 4.4, Google font api, DataTables, Vimeo, Youtube Embed, D3, Facebook, Nvd3, TLS v1.1, jQuery UI 1.12, Apache, _("Responsive"), Bootstrap, Rickshaw, Modernizr, Form Html Element, Popper 1.16, Choices, jsDelivr, Javascript, SSL/TLS, Bootstrap 3.3, Raphael, Website, TLS v1.0, Chart.js 2.9, Chart.js, Visa, Popper, Instagram, Jquery ui, MasterCard, Bootstrap 4.0</t>
  </si>
  <si>
    <t>OHMTECH AS</t>
  </si>
  <si>
    <t>NO943509425</t>
  </si>
  <si>
    <t>Stokkamyrveien 20</t>
  </si>
  <si>
    <t>www.ohmtech.no</t>
  </si>
  <si>
    <t>Computer,Software,Manufacturing</t>
  </si>
  <si>
    <t>https://app.vainu.io/vainu/prospect/2188589/</t>
  </si>
  <si>
    <t>PHP, Wordpress 4, Jquery, Flash, Tab Icon, Requirejs, TLS v1.2, Google maps, Google font api, Wordpress 4.2, Vimeo, Youtube Embed, Microsoft azure, Gravatar, Wordpress, Facebook, TLS problem, Slack, TLS v1.1, Prototype, _("Responsive"), Mysql, Google analytics, jQuery Migrate, Form Html Element, Javascript, SSL/TLS, Website, TLS v1.0, Nginx, Plesk</t>
  </si>
  <si>
    <t>OMNICUS AS</t>
  </si>
  <si>
    <t>NO917259666</t>
  </si>
  <si>
    <t>c/o Eivind Jonassen Johan Svendsens vei 20</t>
  </si>
  <si>
    <t>FJELLHAMAR</t>
  </si>
  <si>
    <t>https://www.omnicus.com/</t>
  </si>
  <si>
    <t>Virtual Assistant,Customer Service,Software,Artificial Intelligence,Information Technology</t>
  </si>
  <si>
    <t>https://app.vainu.io/vainu/prospect/23703812/</t>
  </si>
  <si>
    <t>Nginx, Google Site Verification, Hugo, Gmail, Html5, TLS v1.2, Javascript, Google tag manager, SSL/TLS, Facebook Domain Verification, Tab Icon, _("Responsive"), Youtube, Website, Linkedin, Hugo 0.48</t>
  </si>
  <si>
    <t>OMNIUM AS</t>
  </si>
  <si>
    <t>NO919627816</t>
  </si>
  <si>
    <t>Akersgata 11</t>
  </si>
  <si>
    <t>www.omnium.no</t>
  </si>
  <si>
    <t>B2C,E-Commerce,Product Search,E-Commerce Platforms,Software,Information Technology,Retail Technology,Retail,SaaS,B2B</t>
  </si>
  <si>
    <t>https://app.vainu.io/vainu/prospect/662439650/</t>
  </si>
  <si>
    <t>PHP, Stimulus, Hubspot CMS, Github.com, Jquery, Vidyard, Tab Icon, Varnish, Microsoft IIS, Hubspot Email, TLS v1.2, Hubspot Forms, Microsoft IIS 10.0, Google font api, GoToWebinar, AOS next, Ruby on rails, Facebook, Oracle marketing cloud, TLS v1.1, Recruitment Manager, Font awesome, Cloudflare, _("Responsive"), Google analytics, Linkedin, Microsoft asp.net, Amazon CloudFront, Bootstrap, Norwegian, Zendesk, AOS, Html5, Fastly, Form Html Element, jsDelivr, Javascript, SSL/TLS, Slick, HubSpot CMS Hub, Website, TLS v1.0, GitHub Pages, Gmail, English, UNPKG, Amazon web services, Hubspot, Ruby, Castle Accont Takeout Prevention</t>
  </si>
  <si>
    <t>ORDERX AS</t>
  </si>
  <si>
    <t>NO916690479</t>
  </si>
  <si>
    <t>Slottsbrugata 26B</t>
  </si>
  <si>
    <t>PORSGRUNN</t>
  </si>
  <si>
    <t>orderx.no</t>
  </si>
  <si>
    <t>Event Management,Internet of Things,Events,Ticketing,Payments,SaaS</t>
  </si>
  <si>
    <t>https://app.vainu.io/vainu/prospect/8242033/</t>
  </si>
  <si>
    <t>PHP, Squarespace, Stimulus, Hubspot CMS, Jquery, Tab Icon, TLS v1.2, Hubspot Forms, Google font api, GoToWebinar, Microsoft exchange, Vimeo, Adobe Typekit, Facebook, TLS v1.1, Facebook pixel, _("Responsive"), Linkedin, Google Site Verification, Afterpay, Form Html Element, Javascript, SSL/TLS, Office 365, Website, TLS v1.0, Xhtml, Outlook, Amazon web services, MasterCard, Office365 email, Hubspot</t>
  </si>
  <si>
    <t>ORGBRAIN SOLUTIONS AS</t>
  </si>
  <si>
    <t>NO924486015</t>
  </si>
  <si>
    <t>orgbrain.no</t>
  </si>
  <si>
    <t>Software,SaaS,Video Conferencing,Information Technology</t>
  </si>
  <si>
    <t>https://app.vainu.io/vainu/prospect/2021858717/</t>
  </si>
  <si>
    <t>Adform, PHP, Twitter, Active Campaign, Opencart, Google tag manager, Jquery, Tab Icon, Vkontakte, TLS v1.2, Swiper Slider, Google font api, Vimeo, Gravatar, Wordpress, Booking Widget (All), Facebook, Slack, TLS v1.1, Recruitment Manager, Cloudflare, ActiveCampaign, Mysql, Google analytics, Linkedin, jQuery Migrate, _("Responsive"), Wp rocket, Google Site Verification, Select2, Html5, Form Html Element, Javascript, SSL/TLS, Google Plus, WordPress 5.7, Tumblr, _("Online_Store"), Website, TLS v1.0, Whatsapp Website Icon, Nginx, Gmail, WordPress 5, Yoast SEO, Amazon SES, Yoast SEO 17.1, Elementor, Recaptcha, Calendly</t>
  </si>
  <si>
    <t>OVERSIKT ONLINE AS</t>
  </si>
  <si>
    <t>NO923390391</t>
  </si>
  <si>
    <t>Hylkjeflaten 18</t>
  </si>
  <si>
    <t>HYLKJE</t>
  </si>
  <si>
    <t>www.oversikt.online</t>
  </si>
  <si>
    <t>Software,SaaS,Analytics</t>
  </si>
  <si>
    <t>https://app.vainu.io/vainu/prospect/1744587464/</t>
  </si>
  <si>
    <t>PHP, Twitter, Contact Form 7 Wordpress Plugin, Google tag manager, Hubspot CMS, Jquery, Litespeed, Tab Icon, Google adwords, TLS v1.2, Hubspot Forms, Google font api, GoToWebinar, Linkedin Analytics / Advertisement Pixel, Vimeo, Microsoft exchange, Youtube Embed, Hotjar, Linkedin Data Partner, Wordpress, Facebook, Slack, TLS v1.1, Facebook pixel, _("Responsive"), Youtube, Mysql, Google analytics, Linkedin, Wp rocket, Pinterest, Global Site Tag, Google Site Verification, Form Html Element, Hubspot Live Chat, Javascript, SSL/TLS, Hubspot Analytics, Office 365, Website, TLS v1.0, Blog, Outlook, WordPress 5, Instagram, Linkedin Insight Tag, Office365 email, Hubspot, Recaptcha</t>
  </si>
  <si>
    <t>OWNERSROOM AS</t>
  </si>
  <si>
    <t>NO918195343</t>
  </si>
  <si>
    <t>Storgata 7</t>
  </si>
  <si>
    <t>https://ownersroom.com/</t>
  </si>
  <si>
    <t>FinTech,Software,Blockchain,Crowdfunding,Small and Medium Businesses,Financial Services,Funding Platform,SaaS,B2B,Finance</t>
  </si>
  <si>
    <t>https://app.vainu.io/vainu/prospect/237874481/</t>
  </si>
  <si>
    <t>PHP, WP Engine, Opencart, Contact Form 7 Wordpress Plugin, Google tag manager, Sendgrid, Liveinternet, Jquery, Tab Icon, Vkontakte, Viber Public Chat, TLS v1.2, Mailchimp, Google maps, Google font api, Swiper Slider, Vimeo, Youtube Embed, Netlify, Gravatar, Wordpress, Facebook, Slack, TLS v1.1, React, _("Responsive"), Mysql, Google analytics, Linkedin, Bootstrap, Norwegian, Facebook Share Button Plugin, Google Site Verification, Hugo, Html5, Intercom, Form Html Element, Viber Share Button, Javascript, SSL/TLS, Node.js, Google Plus, Hugo 0.54, Express, Tumblr, _("Online_Store"), Google Cloud, Website, TLS v1.0, Whatsapp Website Icon, Nginx, Gmail, English, OWL Carousel, Elementor</t>
  </si>
  <si>
    <t>PALETTE SOFTWARE AS</t>
  </si>
  <si>
    <t>NO981564685</t>
  </si>
  <si>
    <t>Karl Johans gate 5</t>
  </si>
  <si>
    <t>www.palettesoftware.com/nb/</t>
  </si>
  <si>
    <t>Computer,Accounting,Software,Consumer Software,Billing,Business Information Systems,Financial Services,Information Technology,Management Information Systems,SaaS</t>
  </si>
  <si>
    <t>https://app.vainu.io/vainu/prospect/2081547/</t>
  </si>
  <si>
    <t>Dropbox, PHP, Doubleclick, Act-on, Google tag manager, Finnish, Jquery, Flash, Tab Icon, TLS v1.2, Google maps, Microsoft exchange, Vimeo, Underscore.js 1.13, Youtube Embed, Wordpress, Facebook, TLS v1.1, _("Responsive"), Youtube, Mysql, Linkedin, jQuery Migrate, Tawk.To Chat, Google Site Verification, Form Html Element, Javascript, Gravity Forms, SSL/TLS, Website, TLS v1.0, Nginx, Outlook, Yoast SEO, English, Yoast SEO 17.1, Underscore.js, Office365 email, NitroPack, Recaptcha, Moove Cookie Consent</t>
  </si>
  <si>
    <t>PHOTOCARRIER AS</t>
  </si>
  <si>
    <t>NO915560903</t>
  </si>
  <si>
    <t>Væretrøa 205</t>
  </si>
  <si>
    <t>RANHEIM</t>
  </si>
  <si>
    <t>photocarrier.com</t>
  </si>
  <si>
    <t>Video,Content Discovery,Photography,Content Delivery Network,Software,Visual Search,Real Time,SaaS</t>
  </si>
  <si>
    <t>https://app.vainu.io/vainu/prospect/1895692/</t>
  </si>
  <si>
    <t>Google Site Verification, Youtube Embed, Gmail, Twitter, Kestrel, Javascript, Materialize CSS, TLS problem, SSL/TLS, Slack, _("Responsive"), Jquery, Microsoft asp.net, TLS v1.2, Youtube, Website, Google analytics, Google font api</t>
  </si>
  <si>
    <t>PIA THOME</t>
  </si>
  <si>
    <t>NO996698866</t>
  </si>
  <si>
    <t>Rosteds gate 4B</t>
  </si>
  <si>
    <t>www.piathome.com</t>
  </si>
  <si>
    <t>Computer,Digital Signage,Advertising,Software,Information Technology,Real Time,SaaS</t>
  </si>
  <si>
    <t>https://app.vainu.io/vainu/prospect/1896525/</t>
  </si>
  <si>
    <t>PHP, Doubleclick, Twitter, Google tag manager, Cookie Consent By Insites, Jquery, Google adwords, Tab Icon, TLS v1.2, Google remarketing, Google Conversion, Google font api, Youtube Embed, Zendesk Chat, Osano, Font awesome, _("Responsive"), Youtube, Google analytics, Form Html Element, Javascript, SSL/TLS, Node.js, Express, Nginx 1.18, Website, Nginx, MaxMind, Outlook, Google play, Office365 email, Recaptcha</t>
  </si>
  <si>
    <t>PIANO SOFTWARE NORWAY</t>
  </si>
  <si>
    <t>NO923967850</t>
  </si>
  <si>
    <t>Drammensveien 165</t>
  </si>
  <si>
    <t>piano.io</t>
  </si>
  <si>
    <t>B2C,E-Commerce,Digital Media,Internet,Content Discovery,Advertising,Software,Marketing,Personalization,Analytics,API,Digital Marketing,Real Time,Information Technology,Semantic Web,Enterprise Software,SaaS</t>
  </si>
  <si>
    <t>https://app.vainu.io/vainu/prospect/1908123582/</t>
  </si>
  <si>
    <t>PHP, Wordpress 4, GSAP, Twitter, Slimstat Analytics, Piano, Braintree Payments, Google tag manager, Brightcove, Jquery, Uberflip, Tab Icon, Varnish, TLS v1.2, Mailchimp, Wordpress 4.7, Google font api, Vimeo, Linkedin Data Partner, Wordpress, Wordpress 4.9, Facebook, Yoast SEO 11.6, Font awesome, _("Responsive"), Mysql, Intranet, Google analytics, Linkedin, jQuery Migrate, Global Site Tag, Wistia, Japanese, Facebook Share Button Plugin, Google Site Verification, Zendesk, Angularjs, Tag Commander, TagCommander, Form Html Element, Javascript, jsDelivr, SSL/TLS, Website, Addthis, Google Hire, Blog, Nginx, Typeform, Omniture, Gmail, Yoast SEO, Amazon SES, Cxense, English, Apple Pay, Linkedin Insight Tag, AngularJS 1.5</t>
  </si>
  <si>
    <t>PINMETO</t>
  </si>
  <si>
    <t>NO920870767</t>
  </si>
  <si>
    <t>SE-211 22 MALMÖ</t>
  </si>
  <si>
    <t>https://www.pinmeto.com/</t>
  </si>
  <si>
    <t>B2C,Local Business,Social CRM,Advertising,Marketing,Location Based Services,Content Discovery,Software,Search Engine,Social Media,Local Advertising,Internet,Local,SEO,Social Media Marketing,Digital Marketing,Real Time,SaaS,Online Forums,Google</t>
  </si>
  <si>
    <t>https://app.vainu.io/vainu/prospect/1211048156/</t>
  </si>
  <si>
    <t>Heroku, PHP, Twitter, section.io, Squarespace, Stimulus, Google tag manager, SendinBlue, Jquery, Tab Icon, Varnish, Mailchimp, Google font api, Linkedin Analytics / Advertisement Pixel, Vimeo, Youtube Embed, Linkedin Data Partner, Facebook, Slack, AMP, Facebook pixel, Font awesome, Facebook Page Plugin, _("Responsive"), Pinterest, Google analytics, Linkedin, Facebook Share Button Plugin, Google Site Verification, Html5, Intercom, Afterpay, Form Html Element, Javascript, Teamtailor, Node.js, Express, Tumblr, Website, Embed.Ly, Blog, Rackcache, Xhtml, Gmail, Facebook Domain Verification, Linkedin Insight Tag, Elfsight, Ruby</t>
  </si>
  <si>
    <t>PLAACE AS</t>
  </si>
  <si>
    <t>NO924898127</t>
  </si>
  <si>
    <t>https://www.plaace.co/</t>
  </si>
  <si>
    <t>B2C,Real Estate,Analytics,Real Time,Commercial Real Estate</t>
  </si>
  <si>
    <t>https://app.vainu.io/vainu/prospect/2140005270/</t>
  </si>
  <si>
    <t>Heroku, Segment, PHP, Twitter, section.io, Contact Form 7 Wordpress Plugin, Stimulus, Google tag manager, Fontfaceobserver, Jquery, Tab Icon, Vkontakte, Varnish, TLS v1.2, Facebook Like Button Plugin, Webpack, Google maps, Google font api, Swiper Slider, Vimeo, Youtube Embed, Gravatar, Wordpress, Adobe Typekit, Facebook, TLS v1.1, React, Ziggeo, Font awesome, Next.js, _("Responsive"), Mysql, Google analytics, Linkedin, jQuery Migrate, Amazon CloudFront, Norwegian, Facebook Share Button Plugin, Google Site Verification, Html5, Form Html Element, jsDelivr, Javascript, Teamtailor, SSL/TLS, Node.js, Google Plus, Slick, Tumblr, Nginx 1.18, Website, TLS v1.0, Vercel, Rackcache, Nginx, Zoho Email, Whatsapp Website Icon, Gmail, WordPress 5, Vipps Payment, English, Elementor 3.4, Instagram, Amazon web services, MasterCard, Elementor, Ruby</t>
  </si>
  <si>
    <t>POST PLANNER</t>
  </si>
  <si>
    <t>NO922772983</t>
  </si>
  <si>
    <t>Vågslien 14</t>
  </si>
  <si>
    <t>TERTNES</t>
  </si>
  <si>
    <t>postplanner.com</t>
  </si>
  <si>
    <t>Social Media Management,Social CRM,Twitter,Advertising,Software,Social Media,Social Media Marketing,SaaS</t>
  </si>
  <si>
    <t>https://app.vainu.io/vainu/prospect/1638880862/</t>
  </si>
  <si>
    <t>Twitter, Google tag manager, Hubspot CMS, Smartlook, Sendgrid, Jquery, Tab Icon, TLS v1.2, Hubspot Email, Hubspot Forms, Google font api, GoToWebinar, SlideShare, Hotjar, Youtube Embed, Facebook, Linkedin Sign-in, Slack, TLS v1.1, React, AMP, Cloudflare, Vue.js, Youtube, Google analytics, Linkedin, _("Responsive"), Amazon CloudFront, Global Site Tag, Wistia, Bootstrap, Facebook Share Button Plugin, Google Site Verification, Intercom, Hubspot Marketing Hub, Form Html Element, iubenda, jsDelivr, Javascript, React 1, SSL/TLS, Google Plus, Pinterest, HubSpot CMS Hub, Website, TLS v1.0, Trustpilot, Blog, Gmail, Profitwell, Discover, Popper, Apple App Store, Facebook Domain Verification, Instagram, Popper 1.14, Amazon web services, Hubspot, Intercom Articles, Castle Accont Takeout Prevention</t>
  </si>
  <si>
    <t>PREODAY AS</t>
  </si>
  <si>
    <t>NO916031734</t>
  </si>
  <si>
    <t>Hangarveien 21</t>
  </si>
  <si>
    <t>preoday.com/nb/</t>
  </si>
  <si>
    <t>B2C,Apps,E-Commerce,Internet,Subscription Service,Mobile Payments,Mobile,Food and Beverage,Consumer Applications,Software,Customer Service,Analytics,Food Delivery,Mobile Apps,Hospitality,SaaS,Restaurants</t>
  </si>
  <si>
    <t>https://app.vainu.io/vainu/prospect/2539134/</t>
  </si>
  <si>
    <t>PHP, Twitter, WP Engine, Google tag manager, Smartlook, Google play, Atlassian Domain Verification, Yoast SEO 16.8, Jquery, Tab Icon, TicketMaster, TLS v1.2, Mailchimp, Hubspot Forms, Google font api, Linkedin Analytics / Advertisement Pixel, Vimeo, Youtube Embed, Linkedin Data Partner, Wordpress, Facebook, Slack, TLS v1.1, Facebook pixel, Stripe Online Payments, Youtube, Mysql, Google analytics, Linkedin, Mixpanel Analytics, jQuery Migrate, Global Site Tag, _("Responsive"), Google Site Verification, Html5, Form Html Element, Hubspot Live Chat, Javascript, SSL/TLS, Google Plus, Hubspot Ads Pixel, Hubspot Analytics, Office 365, Website, TLS v1.0, Blog, Nginx, Gmail, Yoast SEO, Vipps Payment, Hubspot Leadflows, Apple App Store, Apple Pay, Instagram, Linkedin Insight Tag, MasterCard, Hubspot</t>
  </si>
  <si>
    <t>PREPPIO AS</t>
  </si>
  <si>
    <t>NO918843957</t>
  </si>
  <si>
    <t>c/o Mesh Tordenskiolds gate 2</t>
  </si>
  <si>
    <t>preppio.com</t>
  </si>
  <si>
    <t>Software,Information Technology,Enterprise,Virtual Workforce,Small and Medium Businesses,Management Information Systems,SaaS,Enterprise Software,Human Resources</t>
  </si>
  <si>
    <t>https://app.vainu.io/vainu/prospect/487785753/</t>
  </si>
  <si>
    <t>PHP, Wordpress 4, Flash video, Twitter, Contact Form 7 Wordpress Plugin, Google tag manager, Jquery, Flash, Litespeed, Tab Icon, TLS v1.2, Hubspot Email, Google font api, Linkedin Analytics / Advertisement Pixel, Microsoft exchange, Vimeo, Hotjar, Youtube Embed, Gravatar, Linkedin Data Partner, Wordpress, Adroll, Facebook, TLS v1.1, Facebook pixel, Font awesome, _("Responsive"), Youtube, Mysql, Intranet, Google analytics, Linkedin, jQuery Migrate, Global Site Tag, Wordpress 4.9, Pinterest, Facebook Share Button Plugin, Google Site Verification, Html5, Intercom, Hubspot Marketing Hub, Form Html Element, Javascript, SSL/TLS, Google Plus, animate.css, Amplitude, Website, TLS v1.0, Blog, Xhtml, Outlook, Gmail, Underscore.js 1.8, OWL Carousel, Underscore.js, Linkedin Insight Tag, Hubspot</t>
  </si>
  <si>
    <t>PRO WELL PLAN AS</t>
  </si>
  <si>
    <t>NO916538693</t>
  </si>
  <si>
    <t>Thormøhlens gate 55</t>
  </si>
  <si>
    <t>www.prowellplan.com</t>
  </si>
  <si>
    <t>Internet of Things,Energy,Machine Learning,Software,Project Management,Information Technology,Analytics,Management Information Systems,Real Time,SaaS,Oil and Gas,Enterprise Software</t>
  </si>
  <si>
    <t>https://app.vainu.io/vainu/prospect/7732389/</t>
  </si>
  <si>
    <t>PHP, Cookie Consent By Insites, Tab Icon, TLS v1.2, Youtube Embed, Facebook, Slack, _("Responsive"), Youtube, Google analytics, Linkedin, Global Site Tag, Facebook Share Button Plugin, Google Site Verification, Form Html Element, Javascript, SSL/TLS, Office 365, Website, TLS v1.0, Nginx, MaxMind, Gmail, UNPKG, Hubspot, Recaptcha</t>
  </si>
  <si>
    <t>PROFITBASE AS</t>
  </si>
  <si>
    <t>NO823980892</t>
  </si>
  <si>
    <t>Stokkamyrveien 13</t>
  </si>
  <si>
    <t>profitbase.no</t>
  </si>
  <si>
    <t>https://app.vainu.io/vainu/prospect/1868853146/</t>
  </si>
  <si>
    <t>PHP, Twitter, Contact Form 7 Wordpress Plugin, Mouseflow, Google tag manager, Jquery, Tab Icon, TLS v1.2, Google font api, Microsoft exchange, Hotjar, Youtube Embed, Microsoft azure, Gravatar, Wordpress, Facebook, Monsterinsights, TLS v1.1, Facebook pixel, Font awesome, Force.com, _("Responsive"), Youtube, Mysql, Google analytics, Linkedin, Prettyphoto, jQuery Migrate, Global Site Tag, Nginx 1.14, Norwegian, Facebook Share Button Plugin, Yoast SEO 17.2, Google Site Verification, Form Html Element, ChargeBee, Javascript, SSL/TLS, animate.css, _("Online_Store"), Leadfeeder, Website, TLS v1.0, Nginx, Outlook, BidTheatre, WordPress 5, Yoast SEO, English, wpBakery, Visa, Yoast SEO 17.1, Chargebee 2, Jquery ui, Giropay, Office365 email, Recaptcha</t>
  </si>
  <si>
    <t>PROFITBASE HOLDING AS</t>
  </si>
  <si>
    <t>NO981387120</t>
  </si>
  <si>
    <t>profitbase.com</t>
  </si>
  <si>
    <t>Machine Learning,Software,Information Technology,Analytics,Business Intelligence,Business Information Systems,Management Information Systems,SaaS,Big Data,Enterprise Software</t>
  </si>
  <si>
    <t>https://app.vainu.io/vainu/prospect/2362016/</t>
  </si>
  <si>
    <t>PHP, Twitter, Contact Form 7 Wordpress Plugin, Mouseflow, Google tag manager, Jquery, Tab Icon, TLS v1.2, Google font api, Microsoft exchange, Hotjar, Youtube Embed, Microsoft azure, Gravatar, Wordpress, Facebook, Monsterinsights, TLS v1.1, Facebook pixel, Font awesome, Force.com, _("Responsive"), Youtube, Mysql, Google analytics, Linkedin, Prettyphoto, jQuery Migrate, Global Site Tag, Nginx 1.14, Norwegian, Facebook Share Button Plugin, Yoast SEO 17.2, Google Site Verification, Yoast SEO 17.0, Form Html Element, ChargeBee, Javascript, SSL/TLS, animate.css, _("Online_Store"), Leadfeeder, Office 365, TLS v1.0, Website, Nginx, Outlook, BidTheatre, WordPress 5, Yoast SEO, English, wpBakery, Visa, Yoast SEO 17.1, Chargebee 2, Jquery ui, Giropay, Office365 email, Recaptcha</t>
  </si>
  <si>
    <t>PROGNOSER AS</t>
  </si>
  <si>
    <t>NO919999888</t>
  </si>
  <si>
    <t>3 etg. Lysaker torg 5</t>
  </si>
  <si>
    <t>prognoser.com</t>
  </si>
  <si>
    <t>Machine Learning,Software,Information Technology,Artificial Intelligence,SaaS</t>
  </si>
  <si>
    <t>https://app.vainu.io/vainu/prospect/776220937/</t>
  </si>
  <si>
    <t>PHP, Twitter, Google tag manager, Jquery, TLS v1.2, Google font api, TLS problem, Slack, TLS v1.1, Ideawebserver 3.0, Font awesome, American Express, _("Responsive"), Google analytics, Linkedin, jQuery Migrate, Bootstrap, Global Site Tag, IdeaWebServer, Html5, iubenda, Form Html Element, Javascript, SSL/TLS, APSIS Lead, Website, Mootools, TLS v1.0, Xhtml, Gmail, Bootstrap 3, Bootstrap 4.7, Recaptcha</t>
  </si>
  <si>
    <t>PROGRAMVAREFORLAGET AS</t>
  </si>
  <si>
    <t>NO974481049</t>
  </si>
  <si>
    <t>Postboks 339 Skøyen</t>
  </si>
  <si>
    <t>www.patientsky.com</t>
  </si>
  <si>
    <t>Health Care,Medical,Electronic Health Record (EHR),Software,Information Technology,Digital Health,SaaS</t>
  </si>
  <si>
    <t>https://app.vainu.io/vainu/prospect/2362486/</t>
  </si>
  <si>
    <t>Brightcove, Google tag manager, Jquery, Varnish, TLS v1.2, Hubspot Email, Mailchimp, Vimeo, Openresty, _("Responsive"), Google analytics, Linkedin, Google Site Verification, Form Html Element, Javascript, SSL/TLS, Webflow, Website, Office 365, Embed.Ly, Typeform, Nginx, Gmail, Salesforce, Amazon web services, Hubspot</t>
  </si>
  <si>
    <t>PROPAGO AS</t>
  </si>
  <si>
    <t>NO990800731</t>
  </si>
  <si>
    <t>C/O Tor Andersen Krohnegården 164B</t>
  </si>
  <si>
    <t>FYLLINGSDALEN</t>
  </si>
  <si>
    <t>propago.com</t>
  </si>
  <si>
    <t>B2C,Product Search,Advertising,Software,Marketing,CRM,Direct Marketing,SaaS,B2B</t>
  </si>
  <si>
    <t>https://app.vainu.io/vainu/prospect/2363691/</t>
  </si>
  <si>
    <t>PHP, Optimizely, Twitter, Infusionsoft, Google tag manager, Jquery, Flash, Tab Icon, Microsoft IIS, Hubspot Email, TLS v1.2, Lightbox, Microsoft IIS 10.0, Mailchimp, Google font api, Microsoft exchange, Vimeo, Youtube Embed, Gravatar, Linkedin Data Partner, Wordpress, Adroll, Facebook, New relic, Slack, TLS v1.1, Force.com, American Express, Youtube, Mysql, Intranet, Google analytics, Linkedin, Microsoft asp.net, jQuery Migrate, _("Responsive"), Bootstrap, Facebook Share Button Plugin, SparkPost, Zendesk, Nginx 1.19, Modernizr, Form Html Element, Microsoft ASP.NET 4.0, Javascript, SSL/TLS, WordPress 5.8, Google Plus, Pinterest, Hubspot Analytics, _("Online_Store"), Office 365, Website, TLS v1.0, Flickr, Nginx, Blog, Outlook, WordPress 5, Yoast SEO, Yoast SEO 17.1, Linkedin Insight Tag, MasterCard, Keap CRM, Hubspot, Recaptcha</t>
  </si>
  <si>
    <t>PUBLICISTO AS</t>
  </si>
  <si>
    <t>NO922088934</t>
  </si>
  <si>
    <t>Postboks 3029 Alexander Kiellands Plass</t>
  </si>
  <si>
    <t>publicisto.com</t>
  </si>
  <si>
    <t>Publishing,Internet,News,Advertising,Content</t>
  </si>
  <si>
    <t>https://app.vainu.io/vainu/prospect/1512333239/</t>
  </si>
  <si>
    <t>Website, PHP, TLS v1.2, Form Html Element, FastMail, Javascript, SSL/TLS, Facebook Domain Verification, TLS v1.1, Jquery, Tab Icon, Amazon web services, Cloudflare, _("Responsive"), TLS v1.0</t>
  </si>
  <si>
    <t>PUZZEL AS</t>
  </si>
  <si>
    <t>NO916938705</t>
  </si>
  <si>
    <t>Fredrik Selmers vei 3</t>
  </si>
  <si>
    <t>https://www.puzzel.com/no/</t>
  </si>
  <si>
    <t>Service Industry,Customer Service,Knowledge Management,Software,Information Technology,Management Information Systems,SaaS,Enterprise Software</t>
  </si>
  <si>
    <t>https://app.vainu.io/vainu/prospect/17305426/</t>
  </si>
  <si>
    <t>Clipboard.js, Intelecom Chat, PHP, Twitter, Gravity Forms 2.4, Glassdoor Job Search, WP Engine, Google tag manager, Cookie Consent By Insites, Atlassian Domain Verification, Yoast SEO 16.8, Jquery, Google adwords, Tab Icon, Finnish, Varnish, TLS v1.2, Danish, Google maps, Google font api, Microsoft exchange, Youtube Embed, Gravatar, Wordpress, Adobe Typekit, Facebook, Osano, Yoast SEO 11.7, New relic, TLS v1.1, Azure Edge, Pardot, Font awesome, Salesforce marketing cloud, Mailgun, _("Responsive"), Youtube, Mysql, Google analytics, Linkedin, jQuery Migrate, Bootstrap, Exclaimer Cloud, Global Site Tag, Norwegian, Zendesk, Bootstrap 4.3, Html5, Modernizr, Form Html Element, Javascript, Gravity Forms, Teamtailor, SSL/TLS, Drupal, Office 365, Swedish, TLS v1.0, Trustpilot, Website, Salesforce Lightning Platform, Nginx, Drupal 8, Outlook, Flickity, Yoast SEO, English, Popper, Popper 1.14, Instagram, Google play, Office365 email, Puzzel Web Chat, Recaptcha</t>
  </si>
  <si>
    <t>QBRICK AS</t>
  </si>
  <si>
    <t>NO995252368</t>
  </si>
  <si>
    <t>c/o Regus Business Center Aker Brygge Postboks 1433 Vika</t>
  </si>
  <si>
    <t>Cort Adelers gate 16</t>
  </si>
  <si>
    <t>B2C,Video,Video on Demand,Video Advertising,Video Chat,Content Discovery,Software,Content Delivery Network,Visual Search,DRM,Video Editing,Video Streaming,Content Creators,Real Time,SaaS,Content</t>
  </si>
  <si>
    <t>https://app.vainu.io/vainu/prospect/2100283/</t>
  </si>
  <si>
    <t>Upsales Crm, Flash video, Twitter, PHP, Google tag manager, Jquery, Flash, Litespeed, Tab Icon, Vkontakte, Viber Public Chat, Microsoft IIS, Mailchimp, Microsoft IIS 10.0, Google maps, Google font api, Swiper Slider, Hubspot Forms, Vimeo, Highcharts, Youtube Embed, Microsoft exchange, Zendesk Chat, Gravatar, Wordpress, Facebook, Monsterinsights, particles.js, TLS v1.1, Qbrick, Facebook pixel, Font awesome, Force.com, Cloudflare, Apache, Extranet, Intranet, Google analytics, Linkedin, Microsoft asp.net, Cookiebot, jQuery Migrate, _("Responsive"), Zendesk, Facebook Share Button Plugin, Html5, Google Site Verification, Modernizr, Form Html Element, Yoast SEO 17.2, Office365 email, Viber Share Button, Javascript, Hubspot Live Chat, SSL/TLS, WordPress 5.8, Google Plus, Tumblr, Mysql, Hubspot Analytics, _("Online_Store"), Office 365, Website, TLS v1.0, Blog, Whatsapp Website Icon, Outlook, BidTheatre, WordPress 5, Yoast SEO, Apple App Store, Instagram, Elementor, Hubspot</t>
  </si>
  <si>
    <t>Sv, Fi, Da, En, No</t>
  </si>
  <si>
    <t>QONDOR AS</t>
  </si>
  <si>
    <t>NO982685478</t>
  </si>
  <si>
    <t>Postboks 1717</t>
  </si>
  <si>
    <t>www.qondor.com</t>
  </si>
  <si>
    <t>Event Management,Events,Software,Project Management,Business Travel,Information Technology,CRM,Business Intelligence,Small and Medium Businesses,SaaS,B2B</t>
  </si>
  <si>
    <t>https://app.vainu.io/vainu/prospect/2018444/</t>
  </si>
  <si>
    <t>Dropbox, PHP, Twitter, WP Engine, Atlassian Statuspage, Dibs, Contact Form 7 Wordpress Plugin, Stimulus, Revslider, Google tag manager, Jquery, Google adwords, Tab Icon, Backbone.js, Varnish, Microsoft IIS, Hubspot Email, TLS v1.2, Mailchimp, Hubspot Forms, Microsoft IIS 10.0, Google font api, Linkedin Analytics / Advertisement Pixel, Microsoft exchange, Youtube Embed, Linkedin Data Partner, Wordpress, Adobe Typekit, Facebook, Booking Widget (All), _("Responsive"), Openresty, Castle Accont Takeout Prevention, React, Font awesome, Stripe Online Payments, Youtube, Mysql, Intranet, Google analytics, Linkedin, Microsoft asp.net, Global Site Tag, Wistia, jQuery Migrate, Google Site Verification, Zendesk, Html5, Intercom, Fastly, Form Html Element, Microsoft ASP.NET 4.0, Javascript, Shopify, SSL/TLS, Webflow, Weglot, animate.css, _("Online_Store"), Office 365, Website, Blog, Nginx, Jimdo, Outlook, Underscore.js, Facebook Domain Verification, Linkedin Insight Tag, Office365 email, Hubspot, Intercom Articles, Recaptcha</t>
  </si>
  <si>
    <t>QTIME AS</t>
  </si>
  <si>
    <t>NO919155248</t>
  </si>
  <si>
    <t>Bogstadveien 27B</t>
  </si>
  <si>
    <t>qtime.no</t>
  </si>
  <si>
    <t>E-Commerce,SaaS,Software,Information Technology</t>
  </si>
  <si>
    <t>https://app.vainu.io/vainu/prospect/542172622/</t>
  </si>
  <si>
    <t>Pepyaka 1.19, Wix, Tab Icon, TLS v1.2, Pepyaka, TLS v1.1, React, _("Responsive"), lodash, Bootstrap, Google Site Verification, Form Html Element, Javascript, SSL/TLS, Website, TLS v1.0, Whatsapp Website Icon, Gmail, Lytics</t>
  </si>
  <si>
    <t>QUINYX AS</t>
  </si>
  <si>
    <t>NO912157237</t>
  </si>
  <si>
    <t>Tollbugata 8A</t>
  </si>
  <si>
    <t>https://www.quinyx.com/no/</t>
  </si>
  <si>
    <t>Machine Learning,Software,SaaS,Enterprise,Artificial Intelligence,Virtual Workforce,Productivity Tools,Management Information Systems,Real Time,Information Technology,Scheduling,Enterprise Software,Task Management</t>
  </si>
  <si>
    <t>https://app.vainu.io/vainu/prospect/1833890/</t>
  </si>
  <si>
    <t>Heroku, PHP, Doubleclick, Twitter, section.io, Stimulus, Google tag manager, Hubspot CMS, Fontfaceobserver, Finnish, Danish, Jquery, Google adwords, Tab Icon, Vidyard, Facebook Like Button Plugin, Google remarketing, TLS v1.2, Mailchimp, Google Conversion, Hubspot Forms, Google maps, Google font api, Varnish, GoToWebinar, Vimeo, Hubspot Email, Youtube Embed, Linkedin Analytics / Advertisement Pixel, Linkedin Data Partner, Facebook, Dutch, Linkedin Sign-in, Oracle marketing cloud, AMP, TLS v1.1, Snowplow, Ziggeo, Font awesome, Cloudflare, Youtube, Vue.js, Google analytics, Linkedin, _("Responsive"), Amazon CloudFront, Bootstrap, Norwegian, Facebook Share Button Plugin, Google Site Verification, Html5, Hubspot Marketing Hub, Form Html Element, Javascript, German, SSL/TLS, Teamtailor, Linkedin Jobs Plugin, HubSpot CMS Hub, Addthis, Office 365, TLS v1.0, Swedish, Website, Rackcache, Salesforce Community, Google Shopping, Salesforce, Gmail, English, Instagram, Linkedin Insight Tag, Amazon web services, Google play, Hubspot, Ruby</t>
  </si>
  <si>
    <t>De, En, Da, Fi</t>
  </si>
  <si>
    <t>QVALIA AS</t>
  </si>
  <si>
    <t>NO995845857</t>
  </si>
  <si>
    <t>Kronprinsens gate 5</t>
  </si>
  <si>
    <t>qvalia.no</t>
  </si>
  <si>
    <t>https://app.vainu.io/vainu/prospect/1834248/</t>
  </si>
  <si>
    <t>PHP, Google tag manager, Finnish, Jquery, Hubspot Sales, Tab Icon, Hubspot Meetings Plugin, TLS v1.2, Hubspot Forms, Google font api, Microsoft exchange, Wordpress, _("Responsive"), Mysql, jQuery Migrate, Linkedin, Norwegian, Form Html Element, Javascript, SSL/TLS, Website, Nginx, Outlook, English, Amazon web services, Office365 email</t>
  </si>
  <si>
    <t>RAYVN AS</t>
  </si>
  <si>
    <t>NO918322701</t>
  </si>
  <si>
    <t>5. etg C. Sundts gate 39</t>
  </si>
  <si>
    <t>rayvn.global</t>
  </si>
  <si>
    <t>Public Safety,Software,Information Technology,Management Information Systems,Real Time,SaaS</t>
  </si>
  <si>
    <t>https://app.vainu.io/vainu/prospect/263994612/</t>
  </si>
  <si>
    <t>PHP, Doubleclick, Twitter, Microsoft HTTPAPI, Contact Form 7 Wordpress Plugin, Google tag manager, Sendgrid, Jquery, Google adwords, Tab Icon, Varnish, TLS v1.2, Google remarketing, Mailchimp, Google Conversion, Google maps, Google font api, Vimeo, Youtube Embed, Microsoft azure, Gravatar, Wordpress, Booking Widget (All), Facebook, New relic, GlobalSign, Freshchat, Mailgun, Stripe Online Payments, Youtube, Mysql, Google analytics, Linkedin, jQuery Migrate, _("Responsive"), Global Site Tag, Windows-Azure-Blob 1.0, Oribi Analytics, Facebook Share Button Plugin, Freshdesk Freshchat, Google Site Verification, Form Html Element, Javascript, SSL/TLS, Flywheel 5.1, Flywheel, Pinterest, Office 365, Website, Microsoft HTTPAPI 2.0, Gmail, Windows-Azure-Blob, Google Shopping, Freshsales CRM, Microsoft-Httpapi 2.0, Instagram, Site Kit, Site Kit 1.41, NitroPack, Microsoft-HTTPAPI</t>
  </si>
  <si>
    <t>RENDRA AS</t>
  </si>
  <si>
    <t>NO898353672</t>
  </si>
  <si>
    <t>Postboks 688 Løren</t>
  </si>
  <si>
    <t>https://streambim.com/</t>
  </si>
  <si>
    <t>Construction,Software,Information Technology,UX Design,Building Information Modeling (BIM),Real Time,SaaS,3D Technology</t>
  </si>
  <si>
    <t>https://app.vainu.io/vainu/prospect/2587232/</t>
  </si>
  <si>
    <t>PHP, Twitter, WP Engine, Contact Form 7 Wordpress Plugin, Google tag manager, Jquery, Flash, Tab Icon, TLS v1.2, Google maps, Google font api, Vimeo, Youtube Embed, Gravatar, Wordpress, Facebook, TLS v1.1, Catapult Cookie Consent, Nginx 1.15, Youtube, Mysql, Google analytics, Linkedin, jQuery Migrate, _("Responsive"), Google Site Verification, Html5, Intercom, Form Html Element, Javascript, SSL/TLS, Yoast SEO 10.0, Website, TLS v1.0, Nginx, Xhtml, Zurb foundation, Gmail, Yoast SEO, Amazon web services</t>
  </si>
  <si>
    <t>REPRICE AS</t>
  </si>
  <si>
    <t>NO924812184</t>
  </si>
  <si>
    <t>Thorøyaveien 4</t>
  </si>
  <si>
    <t>reprice.no</t>
  </si>
  <si>
    <t>Software,E-Commerce,SaaS,Internet</t>
  </si>
  <si>
    <t>https://app.vainu.io/vainu/prospect/2123059368/</t>
  </si>
  <si>
    <t>PHP, Contact Form 7 Wordpress Plugin, Google tag manager, Jquery, Tab Icon, TLS v1.2, Google font api, Gravatar, Wordpress, Facebook, TLS v1.1, Apache, _("Responsive"), Mysql, jQuery Migrate, Facebook Share Button Plugin, Google Site Verification, Form Html Element, Javascript, SSL/TLS, WordPress 5.8, Website, TLS v1.0, Gmail, WordPress 5, Yoast SEO, Yoast SEO 17.1, Calendly</t>
  </si>
  <si>
    <t>RESTAURANTDIARY AS</t>
  </si>
  <si>
    <t>NO918937609</t>
  </si>
  <si>
    <t>resdiary.no</t>
  </si>
  <si>
    <t>Apps,Mobile,Software,Mobile Apps,SaaS,Restaurants</t>
  </si>
  <si>
    <t>https://app.vainu.io/vainu/prospect/479250858/</t>
  </si>
  <si>
    <t>PHP, Jquery mobile, Google tag manager, Jquery, Tab Icon, TLS v1.2, Google font api, Vimeo, Youtube Embed, Gravatar, Wordpress, Booking Widget (All), Facebook, Slack, TLS v1.1, _("Responsive"), Youtube, Mysql, Google analytics, jQuery Migrate, Global Site Tag, Google Site Verification, Facebook Chat, Site Kit 1.40, Yoast SEO 17.0, Form Html Element, Javascript, SSL/TLS, Website, TLS v1.0, Flickr, Nginx, Gmail, WordPress 5, Yoast SEO, Freshsales CRM, Apple App Store, Site Kit, Google play, Resdiary, Recaptcha</t>
  </si>
  <si>
    <t>RESTDB AS</t>
  </si>
  <si>
    <t>NO912686043</t>
  </si>
  <si>
    <t>Skjoldvegen 89</t>
  </si>
  <si>
    <t>restdb.io</t>
  </si>
  <si>
    <t>Data Integration,Internet,Cloud Data Services,Open Source,Software,Developer APIs,Consumer Software,Developer Tools,Database,Information Technology</t>
  </si>
  <si>
    <t>https://app.vainu.io/vainu/prospect/2201774/</t>
  </si>
  <si>
    <t>Auth0 Lock 11.16, Clipboard.js, PHP, Doubleclick, Twitter, Spot.Im / Disgus, Auth0 Lock, Jquery, Google adwords, Tab Icon, jQuery UI 1.10, TLS v1.2, Google remarketing, Google Conversion, Highcharts, Google maps, Google font api, Prism, Youtube Embed, Wordpress, Facebook, jQuery UI 1.12, Font awesome, lodash, American Express, Handlebars, Google analytics, Linkedin, Vue.js, Youtube, Bootstrap, Tawk.To Chat, _("Responsive"), Facebook Share Button Plugin, Google Site Verification, Html5, Intercom, Modernizr, Form Html Element, Disqus, Javascript, jsDelivr, Bootstrap 4.6, SSL/TLS, Google Plus, Bootstrap 3.3, Auth0 Lock 10.24, Website, Blog, Moment.js, Gmail, UNPKG, Bootstrap 4.1, Popper, Popper 1.14, Jquery ui, MasterCard, Recaptcha</t>
  </si>
  <si>
    <t>RETRIEVER NORGE AS</t>
  </si>
  <si>
    <t>NO981076605</t>
  </si>
  <si>
    <t>Langkaia 1</t>
  </si>
  <si>
    <t>www.retriever.no</t>
  </si>
  <si>
    <t>Social Media,SaaS,Software,Analytics</t>
  </si>
  <si>
    <t>https://app.vainu.io/vainu/prospect/17285582/</t>
  </si>
  <si>
    <t>PHP, Twitter, Google tag manager, Hubspot CMS, Atlassian Domain Verification, Finnish, Danish, Jquery, Tab Icon, TLS v1.2, Hubspot Forms, Google font api, GoToWebinar, Microsoft exchange, Youtube Embed, Wordpress, Facebook, Linkedin Sign-in, AMP, Cloudflare, Youtube, Intranet, _("Responsive"), Linkedin, Amazon CloudFront, Google Site Verification, Html5, Hubspot Marketing Hub, Form Html Element, Javascript, SSL/TLS, HubSpot CMS Hub, Office 365, Website, Swedish, Outlook, English, Instagram, Amazon web services, Google play, Office365 email, Hubspot</t>
  </si>
  <si>
    <t>RISMA SYSTEMS NORWAY AS</t>
  </si>
  <si>
    <t>NO921077769</t>
  </si>
  <si>
    <t>Software,Data Protection,Risk Management,Enterprise,Data Security,GDPR,Information Technology,Compliance,Security,Privacy,Management Information Systems,SaaS,Cyber Security</t>
  </si>
  <si>
    <t>https://app.vainu.io/vainu/prospect/1150681234/</t>
  </si>
  <si>
    <t>Google tag manager, Hubspot CMS, Jquery, Varnish, Hubspot Email, Hubspot Forms, Google font api, GoToWebinar, Microsoft exchange, Adobe Typekit, Facebook, Openresty, Slack, Mailgun, Cookiebot, Youtube, _("Responsive"), Linkedin, Google Site Verification, Hubspot Marketing Hub, Form Html Element, Javascript, Sleeknote, Webflow, _("Online_Store"), Office 365, Website, Embed.Ly, Nginx, Hr Manager, Outlook, Siteimprove Analytics, Apple Pay, Facebook Domain Verification, Office365 email, Hubspot</t>
  </si>
  <si>
    <t>Sv, En, No, Da</t>
  </si>
  <si>
    <t>RPA SUPERVISOR AS</t>
  </si>
  <si>
    <t>NO921883463</t>
  </si>
  <si>
    <t>Postboks 3804 Nøstet</t>
  </si>
  <si>
    <t>rpasupervisor.com</t>
  </si>
  <si>
    <t>Machine Learning,Software,Management Information Systems,Information Technology,Enterprise,Artificial Intelligence,Business Information Systems,Real Time,SaaS,Enterprise Software</t>
  </si>
  <si>
    <t>https://app.vainu.io/vainu/prospect/1417095751/</t>
  </si>
  <si>
    <t>Google tag manager, Jquery, Tab Icon, Varnish, TLS v1.2, Mailchimp, Google maps, Google font api, Microsoft exchange, Ruby on rails, Microsoft azure, Gravatar, Zendesk Chat, Adobe Typekit, Openresty, Slack, Font awesome, Cloudflare, _("Responsive"), Intranet, Google analytics, Linkedin, Google Site Verification, Zendesk, Html5, Form Html Element, jsDelivr, Javascript, SSL/TLS, Webflow, Website, GitHub Pages, Nginx, Outlook, Office365 email, Ruby</t>
  </si>
  <si>
    <t>SALESCLUB AS</t>
  </si>
  <si>
    <t>NO991478132</t>
  </si>
  <si>
    <t>Gründeriet Rådhusgata 26</t>
  </si>
  <si>
    <t>https://salesclub.no/</t>
  </si>
  <si>
    <t>Software,Information Technology,CRM,Small and Medium Businesses,Sales Automation,B2B,Sales,SaaS</t>
  </si>
  <si>
    <t>https://app.vainu.io/vainu/prospect/1882972/</t>
  </si>
  <si>
    <t>Jquery, TLS v1.2, Google font api, Microsoft exchange, Kestrel, Mailgun, _("Responsive"), Microsoft asp.net, Google analytics, Bootstrap, Google Site Verification, Html5, Form Html Element, Javascript, SSL/TLS, Bootstrap 3.3, Website, Office 365, Outlook, Online4u email, Office365 email</t>
  </si>
  <si>
    <t>En, No, Da</t>
  </si>
  <si>
    <t>SALSIFY AS</t>
  </si>
  <si>
    <t>NO922244065</t>
  </si>
  <si>
    <t>Skjæløyveien 65</t>
  </si>
  <si>
    <t>MANSTAD</t>
  </si>
  <si>
    <t>getstarted.salsify.com</t>
  </si>
  <si>
    <t>Social CRM,Software,Developer APIs,Information Technology,Consumer Software,API,Productivity Tools,Contact Management,Real Time,SaaS,B2B,Semantic Web,Enterprise Software</t>
  </si>
  <si>
    <t>https://app.vainu.io/vainu/prospect/1543798162/</t>
  </si>
  <si>
    <t>SAMMEVEI AS</t>
  </si>
  <si>
    <t>NO917737738</t>
  </si>
  <si>
    <t>Forskningsparken Gaustadalléen 21</t>
  </si>
  <si>
    <t>www.sammevei.no</t>
  </si>
  <si>
    <t>Apps,Transportation,Mobile Apps,Mobile</t>
  </si>
  <si>
    <t>https://app.vainu.io/vainu/prospect/112788548/</t>
  </si>
  <si>
    <t>Pepyaka 1.19, Wix, Tab Icon, TLS v1.2, Mailchimp, Facebook, Pepyaka, Slack, TLS v1.1, React, Mailgun, lodash, Youtube, _("Responsive"), Instafeed, Linkedin, Bootstrap, Form Html Element, Javascript, SSL/TLS, Website, TLS v1.0, Whatsapp Website Icon, Apple App Store, Instagram, Google play</t>
  </si>
  <si>
    <t>SANITY AS</t>
  </si>
  <si>
    <t>NO918714529</t>
  </si>
  <si>
    <t>Thorvald Meyers gate 49</t>
  </si>
  <si>
    <t>sanity.io</t>
  </si>
  <si>
    <t>B2C,Visual Search,Developer APIs,Consumer Software,Operating Systems,PaaS,Developer Platform,Semantic Web,Enterprise Applications,Digital Media,Web Development,Content Discovery,Software,Content Delivery Network,API,Content Creators,Personalization,Content,Consumer Applications,Internet,Guides,CMS,Developer Tools,Information Technology,Data Integration,E-Commerce,Product Search,Open Source,Real Time,SaaS,Enterprise Software</t>
  </si>
  <si>
    <t>https://app.vainu.io/vainu/prospect/449557654/</t>
  </si>
  <si>
    <t>PHP, Detectify, Twitter, Greenhouse, Google tag manager, Cookie Consent By Insites, Tab Icon, TLS v1.2, Hubspot Email, Mailchimp, Webpack, Google font api, Hotjar, Youtube Embed, Netlify, Adobe Typekit, Facebook, Osano, TLS v1.1, React, Facebook pixel, _("Responsive"), Youtube, Google analytics, Salesforce Web To Lead, Global Site Tag, Google Site Verification, SAP Commerce Cloud, Html5, Form Html Element, Gatsby, Javascript, Shopify, SSL/TLS, Node.js, Express, _("Online_Store"), Google Cloud, Gatsby 2.32, Website, TLS v1.0, Vercel, MaxMind, Gmail, Salesforce, Java</t>
  </si>
  <si>
    <t>SCALANDO AS</t>
  </si>
  <si>
    <t>NO925374261</t>
  </si>
  <si>
    <t>Apotekergata 10B</t>
  </si>
  <si>
    <t>scalando.com</t>
  </si>
  <si>
    <t>Business Development,Software,Information Technology,Virtual Workforce,Enterprise,Small and Medium Businesses,Contact Management,Business Information Systems,Management Information Systems,SaaS,B2B,Enterprise Software</t>
  </si>
  <si>
    <t>https://app.vainu.io/vainu/prospect/2177398038/</t>
  </si>
  <si>
    <t>PHP, Twitter, Google tag manager, Jquery, Tab Icon, TLS v1.2, Google font api, Microsoft exchange, Youtube Embed, Font awesome, _("Responsive"), Youtube, Google analytics, Instafeed, Linkedin, Global Site Tag, Form Html Element, Javascript, SSL/TLS, Pipedrive, Website, Office 365, Outlook, Amazon web services, Office365 email</t>
  </si>
  <si>
    <t>SCREENZ AS</t>
  </si>
  <si>
    <t>NO922436290</t>
  </si>
  <si>
    <t>c/o Styringsgruppen Regnskap AS Postbok 144</t>
  </si>
  <si>
    <t>screenz.no</t>
  </si>
  <si>
    <t>Customer Service,Digital Signage,Software,Information Technology,Consumer Software,Contact Management,Management Information Systems,Real Time,SaaS,Business Information Systems</t>
  </si>
  <si>
    <t>https://app.vainu.io/vainu/prospect/1611653572/</t>
  </si>
  <si>
    <t>Segment, PHP, Twitter, Jquery, Tab Icon, Varnish, TLS v1.2, Google font api, Microsoft exchange, Apache 2.4, Facebook, Openresty, React, Apache, Stripe Online Payments, _("Responsive"), Linkedin, Norwegian, Google Site Verification, Facebook Chat, Intercom, Amazon EC2, Form Html Element, Javascript, Shopify, SSL/TLS, Webflow, Weglot, _("Online_Store"), Leadfeeder, Office 365, Website, PHP 7.1, Nginx, Outlook, English, Apple Pay, Instagram, Amazon web services, Office365 email, Stripe</t>
  </si>
  <si>
    <t>SEARIS AS</t>
  </si>
  <si>
    <t>NO998870135</t>
  </si>
  <si>
    <t>c/o DIGS Krambugata 2</t>
  </si>
  <si>
    <t>www.searis.no</t>
  </si>
  <si>
    <t>Data Integration,Internet of Things,Collaboration,Predictive Analytics,Intelligent Systems,Software,Information Technology,Analytics,Big Data,Management Information Systems,Real Time,SaaS,Data Visualization</t>
  </si>
  <si>
    <t>https://app.vainu.io/vainu/prospect/2625868/</t>
  </si>
  <si>
    <t>PHP, Flash video, Twitter, Jquery, Flash, Tab Icon, TLS v1.2, Mailchimp, AmazonS, Google maps, Wordpress, Facebook, TLS v1.1, Mailgun, _("Responsive"), Mysql, Linkedin, Amazon CloudFront, Facebook Share Button Plugin, Google Site Verification, Form Html Element, Javascript, SSL/TLS, Office 365, Website, TLS v1.0, Gmail, Facebook Domain Verification, Instagram, Amazon web services</t>
  </si>
  <si>
    <t>SECURA AS</t>
  </si>
  <si>
    <t>NO914050456</t>
  </si>
  <si>
    <t>secura.cloud</t>
  </si>
  <si>
    <t>Cloud Data Services,Cloud Infrastructure,Private Cloud,Software,Cloud Computing,Information Technology,Operating Systems,PaaS,Cloud Management,SaaS,Enterprise Software</t>
  </si>
  <si>
    <t>https://app.vainu.io/vainu/prospect/2566801/</t>
  </si>
  <si>
    <t>PHP, Twitter, Cookie Control Civic, Spot.Im / Disgus, CIVIC, Google tag manager, Atlassian Domain Verification, Jquery, Tab Icon, TLS v1.2, Mailchimp, Microsoft exchange, Vimeo, Wordpress, Adobe Typekit, Facebook, TLS v1.1, Cloudflare, _("Responsive"), Mysql, Linkedin, jQuery Migrate, Bootstrap, Html5, Modernizr, Form Html Element, Disqus, Javascript, Gravity Forms, SSL/TLS, Google Plus, animate.css, Office 365, Website, TLS v1.0, Connectwise Manage, Outlook, Office365 email, Recaptcha, Olark</t>
  </si>
  <si>
    <t>SEEFLEET AS</t>
  </si>
  <si>
    <t>NO912062341</t>
  </si>
  <si>
    <t>c/o Eirik Lied Stensberggata 15B</t>
  </si>
  <si>
    <t>https://secure.seefleet.com/</t>
  </si>
  <si>
    <t>Internet,Software,Developer APIs,Information Technology,Shipping,API,Real Time,SaaS,B2B,Logistics</t>
  </si>
  <si>
    <t>https://app.vainu.io/vainu/prospect/2627615/</t>
  </si>
  <si>
    <t>Cowboy, Heroku, Html5, Form Html Element, Javascript, Stimulus, Google tag manager, SSL/TLS, _("Responsive"), TLS v1.1, Jquery, Google adwords, TLS v1.2, Website, Google analytics, TLS v1.0, New relic, Global Site Tag</t>
  </si>
  <si>
    <t>SEMINE AS</t>
  </si>
  <si>
    <t>NO915085865</t>
  </si>
  <si>
    <t>Strandveien 17</t>
  </si>
  <si>
    <t>http://www.bilagos.no/</t>
  </si>
  <si>
    <t>Accounting,Machine Learning,Cloud Computing,Robotics,Analytics,Artificial Intelligence,SaaS</t>
  </si>
  <si>
    <t>https://app.vainu.io/vainu/prospect/2443326/</t>
  </si>
  <si>
    <t>Website, Outlook, TLS v1.2, SSL/TLS, TLS problem, Slack, TLS v1.1, Apache, Office365 email, Office 365, TLS v1.0, Linkedin, Microsoft exchange</t>
  </si>
  <si>
    <t>SENSEE AS</t>
  </si>
  <si>
    <t>NO914272149</t>
  </si>
  <si>
    <t>Alfheim 26</t>
  </si>
  <si>
    <t>www.sensee.io/</t>
  </si>
  <si>
    <t>Internet of Things,Food and Beverage,Software,Information Technology,Analytics,Operating Systems,Business Intelligence,PaaS,SaaS,Big Data</t>
  </si>
  <si>
    <t>https://app.vainu.io/vainu/prospect/2439160/</t>
  </si>
  <si>
    <t>PHP, Contact Form 7 Wordpress Plugin, Google tag manager, Jquery, Tab Icon, Vkontakte, Microsoft IIS, TLS v1.2, Crisp Chat, Microsoft IIS 10.0, Google font api, Swiper Slider, WordPress 5.5, Vimeo, Wordpress, Facebook, Facebook pixel, Font awesome, Nginx 1.15, _("Responsive"), Mysql, Google analytics, Linkedin, Yoast SEO 14.9, Microsoft asp.net, Global Site Tag, Bootstrap, Google Site Verification, Html5, Microsoft ASP.NET 4.0, Form Html Element, Microsoft Word, ChargeBee, Javascript, Elementor 3.0, SSL/TLS, Google Plus, Tumblr, _("Online_Store"), Website, Whatsapp Website Icon, Nginx, Blog, Gmail, WordPress 5, Yoast SEO, Chargebee 2, Giropay, Elementor</t>
  </si>
  <si>
    <t>SHAREFOX AS</t>
  </si>
  <si>
    <t>NO817404502</t>
  </si>
  <si>
    <t>Odins vei 18A</t>
  </si>
  <si>
    <t>TÅRNÅSEN</t>
  </si>
  <si>
    <t>sharefox.no</t>
  </si>
  <si>
    <t>E-Commerce,Software,Rental,Consumer Software,Information Technology,SaaS</t>
  </si>
  <si>
    <t>https://app.vainu.io/vainu/prospect/78170669/</t>
  </si>
  <si>
    <t>PHP, WP Engine, Google Sign-in, Stimulus, Google tag manager, Help Scout, Jquery, Tab Icon, Vkontakte, TLS v1.2, Mailchimp, Hubspot Forms, Swiper Slider, Google font api, Vimeo, Apache 2.4, Gravatar, Yoast SEO 15.0, Wordpress, Facebook, TLS v1.1, Facebook pixel, Apache, Ubuntu, Mysql, _("Responsive"), Linkedin, jQuery Migrate, Norwegian, Google Site Verification, Html5, Form Html Element, Hubspot Live Chat, Javascript, Elementor 3.0, SSL/TLS, Google Plus, Weglot, Tumblr, Hubspot Analytics, Leadfeeder, Website, TLS v1.0, Swedish, Whatsapp Website Icon, Nginx, Gmail, Yoast SEO, English, Visa, Instagram, MasterCard, Elementor, Hubspot</t>
  </si>
  <si>
    <t>SHIFTX AS</t>
  </si>
  <si>
    <t>NO920936628</t>
  </si>
  <si>
    <t>Nedre Vollgate 5</t>
  </si>
  <si>
    <t>shiftx.com</t>
  </si>
  <si>
    <t>Software,Collaboration,Enterprise,Application Performance Management,Virtual Workforce,Productivity Tools,Contact Management,Management Information Systems,Information Technology,B2B,Human Resources,Enterprise Software,SaaS</t>
  </si>
  <si>
    <t>https://app.vainu.io/vainu/prospect/1099975454/</t>
  </si>
  <si>
    <t>Segment, Atlassian Statuspage, Google tag manager, Jquery, Tab Icon, TLS v1.2, Hubspot Email, AmazonS, Google maps, Google font api, Vimeo, Datadog, Youtube Embed, Linkedin Data Partner, Facebook, AngularJS 1.6, TLS v1.1, React, Facebook pixel, Apache, Youtube, _("Responsive"), Google analytics, Linkedin, Amazon CloudFront, Google Site Verification, Html5, Intercom, Fastly, Angularjs, Form Html Element, Modernizr, Javascript, SSL/TLS, _("Online_Store"), Office 365, Website, TLS v1.0, Sentry 5.27, Plausible, Gmail, Sentry, Homerun, Linkedin Insight Tag, Amazon web services, MasterCard, Recaptcha</t>
  </si>
  <si>
    <t>SHORELINE AS</t>
  </si>
  <si>
    <t>NO914286336</t>
  </si>
  <si>
    <t>Bryggerikaien 12</t>
  </si>
  <si>
    <t>www.shoreline.no</t>
  </si>
  <si>
    <t>Construction,Energy,Software,Information Technology,Analytics,Wind Energy,Power Grid,Renewable Energy,Consulting,Simulation,Management Information Systems,SaaS</t>
  </si>
  <si>
    <t>https://app.vainu.io/vainu/prospect/2673743/</t>
  </si>
  <si>
    <t>Heroku, PHP, Twitter, Detectify, Typekit, section.io, Stimulus, Google tag manager, Hubspot CMS, Fontfaceobserver, Atlassian Domain Verification, Help Scout, Jquery, Tab Icon, Backbone.js, Facebook Like Button Plugin, TLS v1.2, Varnish, Mailchimp, Freshdesk, Hubspot Forms, Google maps, Google font api, GoToWebinar, Microsoft exchange, Vimeo, Youtube Embed, Polyfill, Wordpress, Openlayers, Facebook, Adobe Typekit, TLS v1.1, Ziggeo, Font awesome, Apache, Youtube, _("Responsive"), Google analytics, Linkedin, jQuery Migrate, Bootstrap, Yoast SEO 16.2, Mysql, Facebook Share Button Plugin, Google Site Verification, Html5, Form Html Element, Riot, Javascript, Teamtailor, SSL/TLS, WordPress 5.7, Bootstrap 3.3, Hubspot Ads Pixel, Hubspot Analytics, Office 365, Website, TLS v1.0, Rackcache, Google PageSpeed 1.13, Nginx, Outlook, Moment.js, Underscore.js 1.8, WordPress 5, Yoast SEO, Amazon SES, Cxense, Hubspot Leadflows, Underscore.js, Google pagespeed, Jquery ui, Office365 email, Hubspot, Ruby</t>
  </si>
  <si>
    <t>SIFFER SYSTEMER AS</t>
  </si>
  <si>
    <t>NO923344101</t>
  </si>
  <si>
    <t>Stortingsgata 28</t>
  </si>
  <si>
    <t>siffer.no</t>
  </si>
  <si>
    <t>FinTech,Accounting,Software,Information Technology,SaaS</t>
  </si>
  <si>
    <t>https://app.vainu.io/vainu/prospect/1741467883/</t>
  </si>
  <si>
    <t>Google tag manager, Jquery, Tab Icon, TLS v1.2, Webpack, Google font api, Hotjar, Netlify, Gravatar, Facebook, TLS v1.1, React, Facebook pixel, _("Responsive"), Youtube, Linkedin, Google Site Verification, Form Html Element, Hubspot Live Chat, Gatsby, Gatsby 2.26, Javascript, SSL/TLS, Website, TLS v1.0, Gmail, MailJet, Hubspot, Castle Accont Takeout Prevention</t>
  </si>
  <si>
    <t>SIGNHABIT AS</t>
  </si>
  <si>
    <t>NO919441925</t>
  </si>
  <si>
    <t>2 etg. Havnegaten 7</t>
  </si>
  <si>
    <t>HOLMESTRAND</t>
  </si>
  <si>
    <t>signhabit.com</t>
  </si>
  <si>
    <t>Digital Signage,Advertising,Software,Marketing,Information Technology,SaaS</t>
  </si>
  <si>
    <t>https://app.vainu.io/vainu/prospect/635339426/</t>
  </si>
  <si>
    <t>Website, Outlook, Microsoft ASP.NET 4.0, TLS v1.2, Form Html Element, Javascript, SSL/TLS, _("Responsive"), Jquery, Microsoft IIS, Office 365, Microsoft asp.net, Microsoft IIS 10.0, Microsoft exchange</t>
  </si>
  <si>
    <t>SIMP AS</t>
  </si>
  <si>
    <t>NO816202612</t>
  </si>
  <si>
    <t>Øvre Ole Bulls plass 1</t>
  </si>
  <si>
    <t>https://www.simp.no/</t>
  </si>
  <si>
    <t>B2C,Local Business,Social CRM,Marketing,Consumer,Software,Payments,Customer Engagement,API,Financial Services,Big Data,Customer Service,Information Technology,B2B,Loyalty Programs,FinTech,Product Search,Analytics,CRM,Small and Medium Businesses,Real Time,SaaS</t>
  </si>
  <si>
    <t>https://app.vainu.io/vainu/prospect/2162832/</t>
  </si>
  <si>
    <t>Heroku, Hubspot Customer Feedback, Albacross Analytics, Google tag manager, Hubspot CMS, Font Awesome 5.0, Jquery, Google adwords, Tab Icon, Jquery 1.7, Varnish, Hubspot Email, TLS v1.2, Google Conversion, Hubspot Forms, Google maps, Google font api, GoToWebinar, Mailchimp, Microsoft exchange, Linkedin Data Partner, Wordpress, Adobe Typekit, Facebook, jQuery 3.5, Openresty, Facebook pixel, Font awesome, Force.com, Cloudflare, American Express, Ubuntu, Google analytics, Linkedin, Microsoft asp.net, Nginx 1.14, Lua, _("Responsive"), Google Site Verification, Html5, Microsoft ASP.NET 4.0, Form Html Element, Javascript, Smartyads, SSL/TLS, Webflow, Office 365, Website, Nginx, Cowboy, Outlook, Google remarketing, Visa, Linkedin Insight Tag, Amazon web services, MasterCard, Office365 email, Hubspot, New relic</t>
  </si>
  <si>
    <t>SKYBUFFER AS</t>
  </si>
  <si>
    <t>NO912244113</t>
  </si>
  <si>
    <t>Laberghagen 23</t>
  </si>
  <si>
    <t>skybuffer.com</t>
  </si>
  <si>
    <t>Operating Systems,Software,Information Technology</t>
  </si>
  <si>
    <t>https://app.vainu.io/vainu/prospect/1891671/</t>
  </si>
  <si>
    <t>PHP, Jquery, Flash, Tab Icon, Vkontakte, TLS v1.2, Mailchimp, Google maps, Google font api, Microsoft exchange, Swiper Slider, Vimeo, Youtube Embed, Wordpress, Facebook, Slack, Font awesome, Ubuntu, Youtube, Mysql, Google analytics, Linkedin, Nginx 1.14, _("Responsive"), Pinterest, Facebook Share Button Plugin, Html5, Form Html Element, Office365 email, Javascript, Elementor 3.0, SSL/TLS, Google Plus, Tumblr, Nginx 1.18, Sustainability Report, Website, Flickr, Nginx, Whatsapp Website Icon, Outlook, Amazon web services, Elementor, Recaptcha</t>
  </si>
  <si>
    <t>SMARTEDGE AS</t>
  </si>
  <si>
    <t>NO989724444</t>
  </si>
  <si>
    <t>Arnljots gate 12</t>
  </si>
  <si>
    <t>VERDAL</t>
  </si>
  <si>
    <t>ie.smartedge.biz</t>
  </si>
  <si>
    <t>Internet,Software,Information Technology,Consumer Software,Small and Medium Businesses,Management Information Systems,SaaS,Business Information Systems</t>
  </si>
  <si>
    <t>https://app.vainu.io/vainu/prospect/2341479/</t>
  </si>
  <si>
    <t>Clipboard.js, PHP, Jquery, Tab Icon, TLS v1.2, Microsoft IIS, Classic asp, Font awesome, _("Responsive"), Microsoft asp.net, Bootstrap, Form Html Element, Javascript, SSL/TLS, Bootstrap 337, Website, Blog, Xhtml, Microsoft IIS 8.5</t>
  </si>
  <si>
    <t>SMOC.AI AS</t>
  </si>
  <si>
    <t>NO923403418</t>
  </si>
  <si>
    <t>c/o Kristoffer Kvam Fritzners gate 19</t>
  </si>
  <si>
    <t>https://www.smoc.ai/</t>
  </si>
  <si>
    <t>B2C,E-Commerce,Product Search,Advertising,Machine Learning,Software,Marketing,Artificial Intelligence,Personalization,SaaS</t>
  </si>
  <si>
    <t>https://app.vainu.io/vainu/prospect/1748622559/</t>
  </si>
  <si>
    <t>Dropbox, Heroku, Twitter, Google tag manager, Hubspot CMS, Jquery, Hubspot Sales, Tab Icon, Vidyard, Varnish, TLS v1.2, Hubspot Meetings Plugin, Hubspot Forms, Google font api, Linkedin Analytics / Advertisement Pixel, Youtube Embed, Linkedin Data Partner, Wordpress, Adobe Typekit, Facebook, Booking Widget (All), Linkedin Sign-in, Openresty, AMP, Font awesome, Cloudflare, Youtube, _("Responsive"), Google analytics, Linkedin, Bootstrap, Global Site Tag, Google Site Verification, Hubspot Marketing Hub, Form Html Element, Javascript, SSL/TLS, Webflow, _("Online_Store"), HubSpot CMS Hub, Website, Embed.Ly, Blog, Nginx, Cowboy, Gmail, Bootstrap 4.1, Apple Pay, Instagram, Linkedin Insight Tag, MasterCard, Hubspot</t>
  </si>
  <si>
    <t>SNOW SOFTWARE AS</t>
  </si>
  <si>
    <t>NO914520142</t>
  </si>
  <si>
    <t>Torggata 83</t>
  </si>
  <si>
    <t>HAMAR</t>
  </si>
  <si>
    <t>Computer,Software,Information Technology,Enterprise,Operating Systems,Management Information Systems,SaaS,Application Performance Management,Enterprise Software</t>
  </si>
  <si>
    <t>https://app.vainu.io/vainu/prospect/2556110/</t>
  </si>
  <si>
    <t>PHP, Doubleclick, Twitter, Typekit, Brightcove, Google tag manager, Docusign, Cookie Consent By Insites, Atlassian Domain Verification, Percona, Jquery, Tab Icon, Google adwords, Varnish, AmazonS, Google font api, Linkedin Analytics / Advertisement Pixel, Microsoft exchange, Vimeo, Youtube Embed, Microsoft azure, Linkedin Data Partner, Adobe Typekit, Facebook, New relic, Slack, Salesforce marketing cloud, Pardot, Font awesome, Apache, Cloudflare, Youtube, Google analytics, Linkedin, Marketo Forms 2, Amazon CloudFront, Global Site Tag, Wistia, _("Responsive"), Google Site Verification, Bootstrap, Html5, Drupal 8, Modernizr, Angularjs, Form Html Element, Amazon EC2, Javascript, Bootstrap 4.6, Google Plus, Bootstrap 3.3, Acquia Cloud Platform, Drupal, _("Online_Store"), Leadfeeder, Office 365, Website, Marketo Forms, PDF.js, Embed.Ly, Nginx, Salesforce Community, Outlook, Marketo, Salesforce Lightning Platform, MaxMind, Cxense, ZOOM, Discover, Linkedin Insight Tag, Amazon web services, Office365 email, Recaptcha, Smartrecruiters</t>
  </si>
  <si>
    <t>SOCIALBOARDS AS</t>
  </si>
  <si>
    <t>NO990485879</t>
  </si>
  <si>
    <t>POSTBOKS 710 SENTRUM</t>
  </si>
  <si>
    <t>http://socialboards.com/no/</t>
  </si>
  <si>
    <t>Social CRM,Customer Service,Machine Learning,Software,Messaging,Analytics,Customer Engagement,Contact Management,Real Time,Information Technology,SaaS</t>
  </si>
  <si>
    <t>https://app.vainu.io/vainu/prospect/2329639/</t>
  </si>
  <si>
    <t>PHP, Twitter, Typekit, Appinsights, Contact Form 7 Wordpress Plugin, Google tag manager, Sendgrid, Atlassian Domain Verification, Jquery, Tab Icon, Vkontakte, Microsoft IIS, Varnish, TLS v1.2, Hubspot Forms, Microsoft IIS 10.0, Google font api, Vimeo, Apache 2.4, Youtube Embed, Gravatar, Wordpress, Adobe Typekit, Ahrefs SEO tools, Facebook, TLS v1.1, Azure Application Insights, Apache, Youtube, Mysql, Google analytics, Linkedin, Microsoft asp.net, _("Responsive"), Norwegian, Google Site Verification, Html5, Microsoft ASP.NET 4.0, Angularjs, Form Html Element, Javascript, SSL/TLS, Hubspot Ads Pixel, Hubspot Analytics, Office 365, Website, TLS v1.0, Xhtml, TripAdvisor, Amazon SES, English, Google play, Hubspot</t>
  </si>
  <si>
    <t>SOFTWAREONE NORWAY AS</t>
  </si>
  <si>
    <t>NO997748980</t>
  </si>
  <si>
    <t>Postboks 6108 Etterstad</t>
  </si>
  <si>
    <t>Internet,Cloud Data Services,Software,SaaS,Cloud Computing,Open Source,Cloud Security,Enterprise,Operating Systems,Virtual Workforce,Consumer Software,PaaS,Security,Management Information Systems,Information Technology,Application Performance Management,Enterprise Software,Enterprise Applications</t>
  </si>
  <si>
    <t>https://app.vainu.io/vainu/prospect/2330936/</t>
  </si>
  <si>
    <t>Sr, PHP, Twitter, Glassdoor Job Search, Si, Vi, Google tag manager, Requirejs, Tab Icon, TLS v1.2, Microsoft exchange, Service Now, Vimeo, Facebook, Adobe Sign, Cloudflare, Youtube, _("Responsive"), Linkedin, Facebook Share Button Plugin, Google Site Verification, Html5, Zendesk, Form Html Element, iCIMS, LB, Javascript, SSL/TLS, Uk, Office 365, Website, Outlook, Marketo, Ro, Facebook Domain Verification, Instagram, Amazon web services</t>
  </si>
  <si>
    <t>Sk, Ru, Nb, It, Th, Ko, Fr, Tr, Ja, Is, Nl, Id, Es, Bg, En, Zh</t>
  </si>
  <si>
    <t>STOCK &amp; BUY AS</t>
  </si>
  <si>
    <t>NO917178666</t>
  </si>
  <si>
    <t>Harald Hårfagres gate 10B</t>
  </si>
  <si>
    <t>stockandbuy.com</t>
  </si>
  <si>
    <t>E-Commerce,Product Search,Software,Consumer Software,SaaS,B2B</t>
  </si>
  <si>
    <t>https://app.vainu.io/vainu/prospect/17286233/</t>
  </si>
  <si>
    <t>PHP, Twitter, Google tag manager, Cookie Consent By Insites, Jquery, Tab Icon, Vkontakte, Microsoft IIS, TLS v1.2, Lightbox, Microsoft IIS 10.0, Swiper Slider, Google font api, Vimeo, Hotjar, Youtube Embed, Gravatar, Polyfill, Wordpress, Adobe Typekit, Facebook, Osano, TLS problem, Slack, TLS v1.1, Font awesome, Cloudflare, Ubuntu, Mysql, Google analytics, Instafeed, Microsoft asp.net, jQuery Migrate, _("Responsive"), Html5, Nginx 1.10, Form Html Element, jsDelivr, Javascript, SSL/TLS, WordPress 5.8, Google Plus, Tumblr, Website, TLS v1.0, Whatsapp Website Icon, Nginx, MaxMind, Omniture, Gmail, WordPress 5, Userreports, Elementor 3.4, Elementor, Recaptcha</t>
  </si>
  <si>
    <t>STOREPILOT AS</t>
  </si>
  <si>
    <t>NO918836136</t>
  </si>
  <si>
    <t>Krabberødveien 47</t>
  </si>
  <si>
    <t>STATHELLE</t>
  </si>
  <si>
    <t>storepilot.com</t>
  </si>
  <si>
    <t>B2C,Apps,E-Commerce,Internet,Product Search,E-Commerce Platforms,Software,Consumer Software,Retail Technology,SaaS,Enterprise Applications</t>
  </si>
  <si>
    <t>https://app.vainu.io/vainu/prospect/455696475/</t>
  </si>
  <si>
    <t>PHP, Twitter, WP Engine, Google tag manager, Jquery, Google adwords, Tab Icon, Vkontakte, TLS v1.2, Swiper Slider, Google font api, Yoast SEO 16.0, Vimeo, Youtube Embed, Gravatar, Wordpress, Facebook, Slack, TLS v1.1, Facebook pixel, Stripe Online Payments, _("Responsive"), Mysql, TinyMCE, Google analytics, jQuery Migrate, Bootstrap, Global Site Tag, Pinterest, Html5, Form Html Element, Javascript, Smartyads, SSL/TLS, Google Plus, Tumblr, Elementor 3.2, _("Online_Store"), Website, TLS v1.0, Whatsapp Website Icon, Nginx, Gmail, Underscore.js 1.8, Yoast SEO, Underscore.js, Google play, Elementor, Stripe, Google adsense</t>
  </si>
  <si>
    <t>STRATEGY ORCHESTRATOR AS</t>
  </si>
  <si>
    <t>NO998124395</t>
  </si>
  <si>
    <t>Nyveien 28</t>
  </si>
  <si>
    <t>NITTEDAL</t>
  </si>
  <si>
    <t>www.strategyorchestrator.com</t>
  </si>
  <si>
    <t>Software,Information Technology,Enterprise,Productivity Tools,Management Information Systems,SaaS,Enterprise Software</t>
  </si>
  <si>
    <t>https://app.vainu.io/vainu/prospect/2740457/</t>
  </si>
  <si>
    <t>Squarespace Commerce, Squarespace, Jquery, Tab Icon, TLS v1.2, Microsoft IIS, Microsoft IIS 10.0, Google font api, Vimeo, Youtube Embed, Adobe Typekit, Facebook, Slack, TLS v1.1, AMP, Font awesome, _("Responsive"), Google analytics, Microsoft asp.net, Bootstrap, Html5, Microsoft ASP.NET 4.0, Afterpay, Form Html Element, Javascript, SSL/TLS, Website, TLS v1.0, Embed.Ly, jQuery UI 1.9, Xhtml, Gmail, Jquery ui</t>
  </si>
  <si>
    <t>STRISE AS</t>
  </si>
  <si>
    <t>NO918330100</t>
  </si>
  <si>
    <t>c/o Marit Rødevand Hammergata 18</t>
  </si>
  <si>
    <t>https://www.strise.ai/</t>
  </si>
  <si>
    <t>FinTech,Machine Learning,Software,Information Technology,Analytics,Artificial Intelligence,API,Financial Services,SaaS,Management Information Systems</t>
  </si>
  <si>
    <t>https://app.vainu.io/vainu/prospect/258757443/</t>
  </si>
  <si>
    <t>PHP, Google tag manager, Svea Webpay, Jquery, Tab Icon, Varnish, TLS v1.2, Crisp Chat, Linkedin Analytics / Advertisement Pixel, Vimeo, Linkedin Data Partner, Facebook, Openresty, _("Responsive"), Google analytics, Global Site Tag, Nginx 1.19, Form Html Element, jsDelivr, Google Optimize, Javascript, SSL/TLS, Webflow, Office 365, Website, Nginx, Gmail, Linkedin Insight Tag</t>
  </si>
  <si>
    <t>SUPEROFFICE GROUP AS</t>
  </si>
  <si>
    <t>NO924728876</t>
  </si>
  <si>
    <t>Postboks 1884 Vika</t>
  </si>
  <si>
    <t>superoffice.com</t>
  </si>
  <si>
    <t>Social CRM,Customer Service,Software,Information Technology,CRM,Small and Medium Businesses,Contact Management,Business Information Systems,SaaS,Sales</t>
  </si>
  <si>
    <t>https://app.vainu.io/vainu/prospect/2107336074/</t>
  </si>
  <si>
    <t>PHP, Flash video, Twitter, Appinsights, Google tag manager, SyntaxHighlighter, Uni Micro Web, Danish, Episerver, Jquery, Flash, Tab Icon, Vkontakte, Microsoft IIS, Lightbox, Microsoft IIS 10.0, Google font api, Microsoft exchange, Prism, Youtube Embed, Gravatar, Adobe Typekit, Facebook, Dutch, Facebook pixel, Azure Application Insights, Cloudflare, American Express, Youtube, Google analytics, Linkedin, Crazy egg, Microsoft asp.net, Bootstrap, _("Responsive"), Norwegian, Google Site Verification, Superoffice Chat, Html5, Microsoft ASP.NET 4.0, Episerver Forms, Form Html Element, Javascript, jQuery UI 1.11, Finteza Analytics, German, Google Plus, Cufon, SuperOffice CRM, Office 365, Swedish, Cisco Domain Verification, Website, Outlook, Episerver Cms, English, G2 Crowd Conversion Tracking, Microsoft IIS 8.5, Freshworks CRM, Episerver Find 13, Underscore.js, jQuery UI 1.8, Facebook Domain Verification, Jquery ui</t>
  </si>
  <si>
    <t>TACTIC REAL-TIME MARKETING AS</t>
  </si>
  <si>
    <t>NO912694127</t>
  </si>
  <si>
    <t>c/o BrandMaster AS Grev Wedels plass 7</t>
  </si>
  <si>
    <t>https://tacticrealtime.com/</t>
  </si>
  <si>
    <t>B2C,Advertising,Marketing,Brand Marketing,Video Advertising,Digital Media,Content Discovery,Software,Content Creators,Personalization,Content,Ad Targeting,CMS,Content Marketing,Marketing Automation,A/B Testing,Analytics,Digital Marketing,Real Time,SaaS</t>
  </si>
  <si>
    <t>https://app.vainu.io/vainu/prospect/2382346/</t>
  </si>
  <si>
    <t>PHP, Doubleclick, Jquery, Tab Icon, TLS v1.2, Google font api, Facebook, TLS problem, Slack, TLS v1.1, Apache, Ubuntu, _("Responsive"), Nginx 1.10, Form Html Element, Javascript, Smartyads, SSL/TLS, Node.js, Express, Hubspot Analytics, Website, TLS v1.0, Blog, Nginx, Gmail, Instagram, Amazon web services, Hubspot</t>
  </si>
  <si>
    <t>TANSA SYSTEMS AS</t>
  </si>
  <si>
    <t>NO975384225</t>
  </si>
  <si>
    <t>Østensjøveien 36</t>
  </si>
  <si>
    <t>tansa.com</t>
  </si>
  <si>
    <t>Content Discovery,Software,Information Technology,Consumer Software,Contact Management,SaaS,Content,Semantic Web,Enterprise Software</t>
  </si>
  <si>
    <t>https://app.vainu.io/vainu/prospect/2419267/</t>
  </si>
  <si>
    <t>Rumpus, PHP, Twitter, Typekit, Google tag manager, Jquery, Tab Icon, Mailchimp, Hubspot Forms, Microsoft exchange, Vimeo, Gravatar, Wordpress, Adobe Typekit, Facebook, GlobalSign, Uikit, TLS problem, Ubuntu, Vue.js, Mysql, Google analytics, Linkedin, Element UI, jQuery Migrate, _("Responsive"), Norwegian, Wp rocket, Google Site Verification, Nginx 1.10, Form Html Element, Hubspot Live Chat, Javascript, Nginx 1.20, Hubspot Analytics, _("Online_Store"), Website, Nginx, Outlook, Underscore.js 1.8, WordPress 5, Atlassian, English, Hubspot Leadflows, Underscore.js, Office365 email, Hubspot</t>
  </si>
  <si>
    <t>Nb, En, No, nn</t>
  </si>
  <si>
    <t>TARGET CIRCLE AS</t>
  </si>
  <si>
    <t>NO913074319</t>
  </si>
  <si>
    <t>Hvamsvingen 4</t>
  </si>
  <si>
    <t>SKJETTEN</t>
  </si>
  <si>
    <t>targetcircle.com/en/home/</t>
  </si>
  <si>
    <t>B2C,Marketing Automation,E-Commerce,Internet,Advertising,Software,Marketing,Affiliate Marketing,Small and Medium Businesses,Digital Marketing,Social Media Marketing,SaaS,B2B,Local Advertising</t>
  </si>
  <si>
    <t>https://app.vainu.io/vainu/prospect/2420657/</t>
  </si>
  <si>
    <t>PHP, Twitter, WP Engine, Cookie Control Civic, CIVIC, Yoast SEO 15.5, Stimulus, Google tag manager, Jquery, Tab Icon, Vkontakte, TLS v1.2, Swiper Slider, Google font api, Vimeo, ConvertKit, Youtube Embed, Gravatar, Wordpress, Facebook, TLS v1.1, Castle Accont Takeout Prevention, MasterCard, React, Font awesome, _("Responsive"), Youtube, Mysql, Wp rocket, Linkedin, jQuery Migrate, Amazon CloudFront, Google Site Verification, Html5, Intercom, Angularjs, Form Html Element, Javascript, SSL/TLS, Google Plus, Tumblr, Website, TLS v1.0, Whatsapp Website Icon, Nginx, Zurb foundation, Gmail, Yoast SEO, Instagram, Amazon web services, Mystore, Elementor, Intercom Articles, Recaptcha</t>
  </si>
  <si>
    <t>TARGETEVERYONE AS</t>
  </si>
  <si>
    <t>NO894806672</t>
  </si>
  <si>
    <t>Postboks 16</t>
  </si>
  <si>
    <t>ØYSTESE</t>
  </si>
  <si>
    <t>targeteveryone.com</t>
  </si>
  <si>
    <t>B2C,Marketing Automation,Twitter,Mobile,Mobile Advertising,Advertising,Software,Marketing,Messaging,Developer APIs,Email,QR Codes,Email Marketing,Digital Marketing,App Marketing,SaaS,SMS</t>
  </si>
  <si>
    <t>https://app.vainu.io/vainu/prospect/2420739/</t>
  </si>
  <si>
    <t>PHP, Wordpress 4, Twitter, Doubleclick, Active Campaign, Contact Form 7 Wordpress Plugin, Revslider, Google tag manager, Sendgrid, Jquery, Flash, Tab Icon, Google adwords, Facebook Like Button Plugin, Microsoft IIS, Google remarketing, Google Conversion, Google maps, Google font api, Vimeo, Hotjar, Youtube Embed, Zendesk Chat, Wordpress, Facebook, Slack, Facebook pixel, _("Responsive"), Youtube, Mysql, Google analytics, Linkedin, Mixpanel Analytics, Microsoft asp.net, Global Site Tag, jQuery Migrate, Wordpress 4.9, Google Site Verification, Zendesk, Html5, Microsoft ASP.NET 4.0, Form Html Element, Javascript, _("Online_Store"), Website, Swedish, Xhtml, Gmail, Google Shopping, Microsoft IIS 8.5, Revslider 5.3, Livechat, jQuery UI 1.8, Jquery ui</t>
  </si>
  <si>
    <t>TASK ANALYTICS AS</t>
  </si>
  <si>
    <t>NO916872631</t>
  </si>
  <si>
    <t>Youngstorget 3</t>
  </si>
  <si>
    <t>https://www.taskanalytics.com/</t>
  </si>
  <si>
    <t>Internet,Software,Information Technology,Analytics,Productivity Tools,Real Time,SaaS</t>
  </si>
  <si>
    <t>https://app.vainu.io/vainu/prospect/7496986/</t>
  </si>
  <si>
    <t>Heroku, Google tag manager, Jquery, Tab Icon, TLS v1.2, Mailchimp, Webpack, Google font api, Prism, Netlify, Zgs, Slack, React, Zoho Salesiq Chat, Stripe Online Payments, _("Responsive"), Intranet, Gatsby 2.24, Google analytics, Linkedin, Hubspot, Bootstrap, Google Site Verification, Html5, Form Html Element, Gatsby, Javascript, SSL/TLS, Website, TLS v1.0, Task Analytics, Cowboy, Gmail, Zoho Crm, Discover, Popper 1.12, Popper, Popper 1.14, MasterCard, Stripe</t>
  </si>
  <si>
    <t>TECHSTEP NORWAY AS</t>
  </si>
  <si>
    <t>NO977189888</t>
  </si>
  <si>
    <t>Postboks 6557 Etterstad</t>
  </si>
  <si>
    <t>techstep.no</t>
  </si>
  <si>
    <t>Mobile,Telecommunications,Software,Enterprise,Operating Systems,Management Information Systems,Information Technology,Application Performance Management,Enterprise Software</t>
  </si>
  <si>
    <t>https://app.vainu.io/vainu/prospect/17285295/</t>
  </si>
  <si>
    <t>PHP, Twitter, Appinsights, Google tag manager, Hubspot CMS, Atlassian Domain Verification, Jquery, Tab Icon, Vidyard, Microsoft IIS, TLS v1.2, Hubspot Forms, Google maps, Google font api, GoToWebinar, Microsoft IIS 10.0, Vimeo, Microsoft exchange, Youtube Embed, Hotjar, Facebook, Linkedin Sign-in, AMP, TLS v1.1, Azure Application Insights, Cloudflare, Vue.js, Intranet, Cookiebot, Linkedin, Youtube, Amazon CloudFront, Microsoft asp.net, Bootstrap, _("Responsive"), Facebook Share Button Plugin, Litium, Html5, Google Site Verification, Hubspot Marketing Hub, Form Html Element, Modernizr, Microsoft ASP.NET 4.0, jsDelivr, Javascript, SSL/TLS, Slick, animate.css, HubSpot CMS Hub, Office 365, Website, TLS v1.0, Typeform, Zurb foundation, Outlook, Moment.js, UNPKG, Facebook Domain Verification, Instagram, Amazon web services, ReachMee, Office365 email, Hubspot</t>
  </si>
  <si>
    <t>TELEMATICS AS</t>
  </si>
  <si>
    <t>NO995355558</t>
  </si>
  <si>
    <t>Krohnegården 103</t>
  </si>
  <si>
    <t>webfleet.com</t>
  </si>
  <si>
    <t>Transportation,Internet of Things,Software,Fleet Management,Risk Management,Operating Systems,Real Time,Information Technology,Automotive,SaaS</t>
  </si>
  <si>
    <t>https://app.vainu.io/vainu/prospect/2257844/</t>
  </si>
  <si>
    <t>PHP, Doubleclick, Twitter, Google tag manager, Docusign, Atlassian Domain Verification, Google adwords, Leadforensics, Varnish, TLS v1.2, Linkedin Analytics / Advertisement Pixel, Microsoft exchange, Hotjar, Microsoft azure, Nette framework, Facebook, TLS v1.1, Force.com, _("Responsive"), Youtube, Vue.js, Google analytics, Linkedin, Element UI, Google Site Verification, Form Html Element, Javascript, SSL/TLS, Office 365, Website, TLS v1.0, Outlook, Salesforce, Office365 email</t>
  </si>
  <si>
    <t>Sv, Pt, Cs, Pl, It, Fr, De, Nl, Da, Es, En, Hu</t>
  </si>
  <si>
    <t>TESTHUB TECHNOLOGIES AS</t>
  </si>
  <si>
    <t>NO923750630</t>
  </si>
  <si>
    <t>Sofies gate 58B</t>
  </si>
  <si>
    <t>www.testhub.tech</t>
  </si>
  <si>
    <t>Recruiting,Internet,Software,Information Technology,SaaS,Human Resources</t>
  </si>
  <si>
    <t>https://app.vainu.io/vainu/prospect/1821948421/</t>
  </si>
  <si>
    <t>Gmail, TLS v1.2, Form Html Element, Facebook, Javascript, Ant Design, SSL/TLS, Smartyads, Jquery, Instagram, Tab Icon, Amazon web services, _("Responsive"), Website, Linkedin</t>
  </si>
  <si>
    <t>THE LOOX AS</t>
  </si>
  <si>
    <t>NO924590106</t>
  </si>
  <si>
    <t>Surnadalsøra 24</t>
  </si>
  <si>
    <t>SURNADAL</t>
  </si>
  <si>
    <t>help.loox.io</t>
  </si>
  <si>
    <t>E-Commerce,Consumer Applications,Internet,Product Search,Software,Information Technology,Consumer Software,SaaS,Online Forums</t>
  </si>
  <si>
    <t>https://app.vainu.io/vainu/prospect/2057159946/</t>
  </si>
  <si>
    <t>Google tag manager, Jquery, Tab Icon, TLS v1.2, Youtube Embed, Facebook, New relic, TLS v1.1, Cloudflare, Youtube, _("Responsive"), Google analytics, Global Site Tag, Html5, Form Html Element, Javascript, Shopify, SSL/TLS, Google Plus, _("Online_Store"), Website, TLS v1.0, Aftership, Recaptcha</t>
  </si>
  <si>
    <t>TIMEGRIP AS</t>
  </si>
  <si>
    <t>NO989324233</t>
  </si>
  <si>
    <t>Pilestredet 75D</t>
  </si>
  <si>
    <t>www.timegrip.no</t>
  </si>
  <si>
    <t>Apps,Software,Information Technology,Mobile Apps,SaaS,Human Resources,Task Management</t>
  </si>
  <si>
    <t>https://app.vainu.io/vainu/prospect/1862861/</t>
  </si>
  <si>
    <t>PHP, Google tag manager, Danish, Jquery, Tab Icon, TLS v1.2, Google font api, Microsoft exchange, Vimeo, Youtube Embed, Wordpress, Facebook, _("Responsive"), Mysql, jQuery Migrate, Bootstrap, Norwegian, Html5, Form Html Element, Javascript, SSL/TLS, Nginx 1.20, Website, Swedish, Nginx, Outlook, WordPress 5, Yoast SEO, English, Yoast SEO 17.1, Instagram, Bootstrap 4.5, Office365 email, Recaptcha</t>
  </si>
  <si>
    <t>TIMEME AS</t>
  </si>
  <si>
    <t>NO921350643</t>
  </si>
  <si>
    <t>Karihaugveien 89</t>
  </si>
  <si>
    <t>timeme.app</t>
  </si>
  <si>
    <t>Software,Information Technology,Virtual Workforce,Office Administration,Small and Medium Businesses,Management Information Systems,SaaS,Human Resources</t>
  </si>
  <si>
    <t>https://app.vainu.io/vainu/prospect/1240335450/</t>
  </si>
  <si>
    <t>PHP, Twitter, Jquery sparklines, Google play, Jquery, Tab Icon, TLS v1.2, SweetAlert, Crisp Chat, Google maps, Google font api, Youtube Embed, Wordpress, Adobe Typekit, Facebook, TLS v1.1, Font awesome, Apache, Youtube, American Express, _("Responsive"), Linkedin, Bootstrap, Facebook Share Button Plugin, Google Site Verification, Html5, Form Html Element, jsDelivr, Javascript, SSL/TLS, Website, TLS v1.0, Moment.js, Popper, Popper 1.14, Instagram, Jquery ui, MasterCard, DataTables, Recaptcha</t>
  </si>
  <si>
    <t>TIMETO AS</t>
  </si>
  <si>
    <t>NO989239449</t>
  </si>
  <si>
    <t>Huginsvei 14</t>
  </si>
  <si>
    <t>TOLVSRØD</t>
  </si>
  <si>
    <t>timetoast.com</t>
  </si>
  <si>
    <t>Internet,Collaboration,Software,Information Technology,Social Media,Productivity Tools,Real Time,SaaS</t>
  </si>
  <si>
    <t>https://app.vainu.io/vainu/prospect/2503100/</t>
  </si>
  <si>
    <t>PHP, Doubleclick, Twitter, Google tag manager, Jquery, Flash, Tab Icon, Varnish, TLS v1.2, Google font api, Vimeo, Facebook, Openresty, Slack, Ghost 3.42, AMP, Stripe Online Payments, Mixpanel Analytics, Ubuntu, Google analytics, Ghost, _("Responsive"), Pinterest, Global Site Tag, Facebook Share Button Plugin, Google Site Verification, Form Html Element, Javascript, Smartyads, SSL/TLS, Node.js, Google Plus, Nginx 1.18, Website, Blog, Nginx, Gmail, Amazon web services, Stripe, Google adsense</t>
  </si>
  <si>
    <t>Es, Ca, En, Ru</t>
  </si>
  <si>
    <t>TIXIO TECHNOLOGIES AS</t>
  </si>
  <si>
    <t>NO917989893</t>
  </si>
  <si>
    <t>Ringsevja 2</t>
  </si>
  <si>
    <t>ULEFOSS</t>
  </si>
  <si>
    <t>https://tixio.io/</t>
  </si>
  <si>
    <t>Internet,Software,Collaboration,SaaS,Enterprise,Virtual Workforce,Developer Tools,Consumer Software,Productivity Tools,Contact Management,Management Information Systems,Real Time,Information Technology,Enterprise Software,Task Management</t>
  </si>
  <si>
    <t>https://app.vainu.io/vainu/prospect/112909975/</t>
  </si>
  <si>
    <t>PHP, Twitter, Jquery, Tab Icon, TLS v1.2, Google font api, Adobe Typekit, Facebook, Font awesome, Cloudflare, Stripe Online Payments, Ubuntu, Google analytics, Linkedin, _("Responsive"), Bootstrap, Google Site Verification, Nginx 1.10, Form Html Element, ChargeBee, jsDelivr, Javascript, SSL/TLS, Node.js, Express, _("Online_Store"), Website, Blog, Nginx, Gmail, Popper, Popper 1.14, Chargebee 2, Giropay</t>
  </si>
  <si>
    <t>TOPDESK NORGE AS</t>
  </si>
  <si>
    <t>NO920870392</t>
  </si>
  <si>
    <t>Strandveien 35</t>
  </si>
  <si>
    <t>topdesk.com</t>
  </si>
  <si>
    <t>Professional Services,Service Industry,Customer Service,Software,Enterprise,Virtual Workforce,Consumer Software,Office Administration,Facility Management,Business Information Systems,Consulting,Management Information Systems,Information Technology,SaaS</t>
  </si>
  <si>
    <t>https://app.vainu.io/vainu/prospect/1099752849/</t>
  </si>
  <si>
    <t>Google tag manager, Twitter Ads, Leadforensics, Hubspot Forms, Cloudflare, _("Responsive"), Mysql, Quora, jsDelivr, SSL/TLS, Popper, Popper 1.14, PHP, Glassdoor Job Search, Albacross Analytics, Google adwords, Google Conversion, Hotjar, Linkedin Data Partner, Wordpress, Adobe Typekit, Extranet, Google analytics, Google Site Verification, Html5, Hubspot Marketing Hub, Form Html Element, Slick, animate.css, Hubspot Ads Pixel, Hubspot Analytics, Albacross, Blog, Outlook, Hubspot Leadflows, Instagram, Bootstrap 4.5, Hubspot, Doubleclick, Twitter, Hubspot CMS, Mailchimp, GoToWebinar, Microsoft exchange, Youtube Embed, Adroll, Facebook, TLS v1.1, Apache, Youtube, Bootstrap, Google Optimize, Javascript, Popper 1.12, Linkedin Insight Tag, Office365 email, Atlassian Domain Verification, Jquery, Tab Icon, Google remarketing, TLS v1.2, Hubspot Email, Google font api, Linkedin Analytics / Advertisement Pixel, Gravatar, Linkedin Sign-in, Facebook pixel, Font awesome, Wp rocket, Linkedin, Global Site Tag, Facebook Share Button Plugin, Flurry / Yahoo Analytics, HubSpot CMS Hub, Office 365, Dynamics CRM Online, TLS v1.0, Website, Bootstrap 4.0</t>
  </si>
  <si>
    <t>Sv, Fr, De, Nl, Da, En, No, Hu</t>
  </si>
  <si>
    <t>TOUCH TECHNOLOGY AS</t>
  </si>
  <si>
    <t>NO860154412</t>
  </si>
  <si>
    <t>St. Olavs plass 3</t>
  </si>
  <si>
    <t>https://touchcallrecording.com/</t>
  </si>
  <si>
    <t>Security,Professional Services,Information Technology,SaaS</t>
  </si>
  <si>
    <t>https://app.vainu.io/vainu/prospect/2719977/</t>
  </si>
  <si>
    <t>PHP, Twitter, Google tag manager, Atlassian Domain Verification, Jquery, Tab Icon, TLS v1.2, Google maps, Microsoft exchange, Vimeo, Youtube Embed, SharpSpring 1.1, Uikit, TLS v1.1, _("Responsive"), Vue.js, Youtube, Google analytics, Linkedin, Element UI, jQuery Migrate, Form Html Element, Javascript, SSL/TLS, Office 365, Leadfeeder, TLS v1.0, Website, Nginx, Outlook, Sharpspring, Office365 email, Recaptcha</t>
  </si>
  <si>
    <t>TRIBIA AS</t>
  </si>
  <si>
    <t>NO983443117</t>
  </si>
  <si>
    <t>Hoffsveien 1C</t>
  </si>
  <si>
    <t>https://tribia.com/nb_no/</t>
  </si>
  <si>
    <t>Construction,Collaboration,Software,Project Management,Information Technology,Management Information Systems,SaaS</t>
  </si>
  <si>
    <t>https://app.vainu.io/vainu/prospect/2331058/</t>
  </si>
  <si>
    <t>PHP, Twitter, Google tag manager, Hubspot CMS, Atlassian Domain Verification, Jquery, Tab Icon, Vidyard, Hubspot Forms, Google maps, Google font api, GoToWebinar, Microsoft exchange, Vimeo, Hotjar, Youtube Embed, Microsoft azure, Wordpress, Facebook, Linkedin Sign-in, Oracle marketing cloud, AMP, TLS v1.1, Cloudflare, Youtube, _("Responsive"), Google analytics, Linkedin, Amazon CloudFront, Norwegian, Facebook Share Button Plugin, Html5, Hubspot Marketing Hub, Form Html Element, Facebook Workplace, Office365 email, Javascript, SSL/TLS, Hubspot Analytics, HubSpot CMS Hub, Website, Swedish, TLS v1.0, Outlook, English, Amazon web services, Elementor, Hubspot</t>
  </si>
  <si>
    <t>TRITT AS</t>
  </si>
  <si>
    <t>NO917760187</t>
  </si>
  <si>
    <t>tritt.no</t>
  </si>
  <si>
    <t>Software,SaaS,Information Technology,Human Resources</t>
  </si>
  <si>
    <t>https://app.vainu.io/vainu/prospect/95586081/</t>
  </si>
  <si>
    <t>Gmail, Form Html Element, Google Firebase, Mindmatrix, Javascript, SSL/TLS, _("Responsive"), Node.js, TLS v1.1, Tab Icon, Mailgun, TLS v1.2, Vue.js, Website, Google analytics, TLS v1.0, Google font api, Nuxt.js</t>
  </si>
  <si>
    <t>TRUECOMMERCE NORWAY AS</t>
  </si>
  <si>
    <t>NO983190871</t>
  </si>
  <si>
    <t>c/o TrueCommerce Denmark ApS Banevænget 13, 2.</t>
  </si>
  <si>
    <t>DK-3460 BIRKERØD</t>
  </si>
  <si>
    <t>www.truecommerce.com/dk-da/</t>
  </si>
  <si>
    <t>E-Commerce,Product Search,Software,Information Technology,Consumer Software,SaaS,B2B,Logistics</t>
  </si>
  <si>
    <t>https://app.vainu.io/vainu/prospect/2505358/</t>
  </si>
  <si>
    <t>PHP, Doubleclick, Twitter, Google tag manager, Drupal 9, Atlassian Domain Verification, Jquery, Google adwords, Tab Icon, TLS v1.2, Google remarketing, Google Conversion, Google font api, Microsoft exchange, Vimeo, Youtube Embed, Facebook, WebEx, Cloudflare, Youtube, _("Responsive"), Microsoft asp.net, Marketo Forms 2, Linkedin, Wistia, Google Site Verification, Modernizr, Form Html Element, jsDelivr, Javascript, SSL/TLS, Drupal, Website, Addthis, Marketo Forms, Xhtml, Outlook, Marketo, BidTheatre, Google Shopping, Ultipro, Instagram</t>
  </si>
  <si>
    <t>En, Da, Fr</t>
  </si>
  <si>
    <t>UPWAVE TECHNOLOGIES AS</t>
  </si>
  <si>
    <t>NO918835881</t>
  </si>
  <si>
    <t>https://www.upwave.io/</t>
  </si>
  <si>
    <t>Software,Collaboration,Project Management,Enterprise,Virtual Workforce,Productivity Tools,Contact Management,Management Information Systems,Real Time,SaaS,Enterprise Software,Task Management</t>
  </si>
  <si>
    <t>https://app.vainu.io/vainu/prospect/468048401/</t>
  </si>
  <si>
    <t>Heroku, Segment, Twitter, gunicorn, Typekit, Google tag manager, Hubspot CMS, Google play, Django, Jquery, Tab Icon, Hubspot Forms, Google font api, GoToWebinar, Youtube Embed, Adroll, Adobe Typekit, Facebook, Castle Accont Takeout Prevention, React, Cloudflare, American Express, Youtube, Google analytics, Linkedin, _("Responsive"), Amazon CloudFront, Global Site Tag, gunicorn 19.9, Google Site Verification, Html5, Intercom, Hubspot Marketing Hub, Angularjs, Form Html Element, Javascript, Google Plus, Python, HubSpot CMS Hub, Office 365, Website, Blog, Nginx, Gmail, Bugsnag, Apple App Store, Amazon web services, MasterCard, Hubspot, Intercom Articles, Recaptcha</t>
  </si>
  <si>
    <t>VADITIME AS</t>
  </si>
  <si>
    <t>NO922191832</t>
  </si>
  <si>
    <t>Lysåskroken 11</t>
  </si>
  <si>
    <t>vaditime.no</t>
  </si>
  <si>
    <t>Apps,Software,Project Management,Information Technology,Virtual Workforce,Consumer Software,Facility Management,Productivity Tools,Management Information Systems,SaaS,Task Management</t>
  </si>
  <si>
    <t>https://app.vainu.io/vainu/prospect/1513061680/</t>
  </si>
  <si>
    <t>Xhtml, Google Site Verification, Website, Vimeo, PHP, TLS v1.2, Form Html Element, Javascript, Apache 2, SSL/TLS, TLS v1.1, Jquery, Font awesome, Apache, _("Responsive"), TLS v1.0, Bootstrap</t>
  </si>
  <si>
    <t>VARNISH SOFTWARE AS</t>
  </si>
  <si>
    <t>NO986768009</t>
  </si>
  <si>
    <t>Gjerdrums vei 14</t>
  </si>
  <si>
    <t>www.varnish-software.com</t>
  </si>
  <si>
    <t>Video,Internet,Content Discovery,CMS,Software,Content Delivery Network,Cloud Computing,Enterprise,Operating Systems,Application Performance Management,Consumer Software,API,PaaS,Video Streaming,Information Technology,Semantic Web,Enterprise Software,SaaS</t>
  </si>
  <si>
    <t>https://app.vainu.io/vainu/prospect/2588861/</t>
  </si>
  <si>
    <t>PHP, Doubleclick, Twitter, WP Engine, Google tag manager, Hubspot CMS, Jquery, Tab Icon, Varnish, Oracle Service Cloud, Hubspot Forms, Google font api, GoToWebinar, SlideShare, Linkedin Analytics / Advertisement Pixel, Youtube Embed, Wordpress, Sumo, Facebook, Linkedin Sign-in, _("Responsive"), Slack, Varnish 6.0, React, Azure Edge, Ve Interactive, Font awesome, Facebook pixel, AMP, Cloudflare, Youtube, Extranet, Mysql, Intranet, Google analytics, Linkedin, Bootstrap, Wistia, Hugo 0.51, Google Site Verification, Zendesk, Hugo, Html5, Hubspot Marketing Hub, Form Html Element, Javascript, Hubspot Analytics, HubSpot CMS Hub, Sumome, Website, Blog, Flickr, Gmail, Adnxs, Sanoma Tracking Pixel, Hubspot</t>
  </si>
  <si>
    <t>VCLERK AS</t>
  </si>
  <si>
    <t>NO925269743</t>
  </si>
  <si>
    <t>https://vclerk.com/</t>
  </si>
  <si>
    <t>B2C,Video,E-Commerce,Internet,Product Search,Software,Shopping,Retail</t>
  </si>
  <si>
    <t>https://app.vainu.io/vainu/prospect/2170946027/</t>
  </si>
  <si>
    <t>Twitter, Pepyaka 1.19, Wix, Hubspot CMS, Tab Icon, TLS v1.2, Hubspot Forms, Google font api, Polyfill, Facebook, Pepyaka, TLS v1.1, React, lodash, Cloudflare, _("Responsive"), Instafeed, Linkedin, Bootstrap, Google Site Verification, Html5, Form Html Element, Javascript, Shopify, SSL/TLS, _("Online_Store"), HubSpot CMS Hub, Website, TLS v1.0, Whatsapp Website Icon, Google Firebase, MailJet, Instagram, Mystore, Hubspot</t>
  </si>
  <si>
    <t>VEGA SMB AS</t>
  </si>
  <si>
    <t>NO984709722</t>
  </si>
  <si>
    <t>Postboks 345</t>
  </si>
  <si>
    <t>vegasmb.no</t>
  </si>
  <si>
    <t>CMS,Software,CRM,Information Technology,Sales</t>
  </si>
  <si>
    <t>https://app.vainu.io/vainu/prospect/1953894/</t>
  </si>
  <si>
    <t>Adobe coldfusion, PHP, Twitter, Google tag manager, Cfml, Jquery, Flash, Tab Icon, TLS v1.2, Microsoft IIS, Microsoft IIS 10.0, Microsoft exchange, Youtube Embed, Wordpress, Facebook, Youtube, Google analytics, Linkedin, Microsoft asp.net, Google Site Verification, Cookieinformation.Com, Javascript, SSL/TLS, Office 365, Website, Outlook, Livechat, Office365 email</t>
  </si>
  <si>
    <t>VESSELMAN AS</t>
  </si>
  <si>
    <t>NO915126294</t>
  </si>
  <si>
    <t>Leilighet H601 Ormerudveien 14C</t>
  </si>
  <si>
    <t>KOLBOTN</t>
  </si>
  <si>
    <t>www.vesselman.com</t>
  </si>
  <si>
    <t>Service Industry,Asset Management,Collaboration,Software,Information Technology,Consumer Software,Management Information Systems,SaaS</t>
  </si>
  <si>
    <t>https://app.vainu.io/vainu/prospect/2079812/</t>
  </si>
  <si>
    <t>PHP, Scribd, N/a, Google tag manager, Editmysite, Jquery, Flash, Google adwords, TLS v1.2, Google font api, Vimeo, Hotjar, Youtube Embed, Facebook, Snowplow, Font awesome, Keen.Io Analytics, Apache, Youtube, Mysql, Google analytics, Linkedin, _("Responsive"), Bootstrap, Global Site Tag, Google Site Verification, Form Html Element, Javascript, SSL/TLS, _("Online_Store"), Website, Nginx, Gmail, Weebly, Amazon web services, Bootstrap 4.5</t>
  </si>
  <si>
    <t>VIBBIO AS</t>
  </si>
  <si>
    <t>NO916722516</t>
  </si>
  <si>
    <t>Idrettsveien 16B</t>
  </si>
  <si>
    <t>JAR</t>
  </si>
  <si>
    <t>http://www.vibbio.com/</t>
  </si>
  <si>
    <t>Video,Recruiting,Video Advertising,Employer Branding,Software,Virtual Workforce,Social Media Marketing,Digital Marketing,SaaS,B2B,Human Resources</t>
  </si>
  <si>
    <t>https://app.vainu.io/vainu/prospect/16532920/</t>
  </si>
  <si>
    <t>Segment, Twitter, Typekit, Google tag manager, Hubspot CMS, Sendgrid, Cookie Consent By Insites, Jquery, Tab Icon, Vidyard, TLS v1.2, Hubspot Forms, Google font api, GoToWebinar, Linkedin Analytics / Advertisement Pixel, Vimeo, Youtube Embed, Netlify, Linkedin Data Partner, Adobe Typekit, Facebook, Osano, TLS v1.1, cloudinary, Facebook pixel, Cloudflare, Youtube, Intranet, Google analytics, Linkedin, Stripe Online Payments, Amazon CloudFront, Global Site Tag, _("Responsive"), Google Site Verification, Html5, Intercom, Hubspot Marketing Hub, Form Html Element, Afterpay, jsDelivr, Javascript, SSL/TLS, animate.css, HubSpot CMS Hub, Google Cloud, Website, TLS v1.0, Blog, Nginx, MaxMind, Gmail, Instagram, Linkedin Insight Tag, Amazon web services, Hubspot, Intercom Articles</t>
  </si>
  <si>
    <t>VIGILO AS</t>
  </si>
  <si>
    <t>NO995392755</t>
  </si>
  <si>
    <t>Stølsmyr 22</t>
  </si>
  <si>
    <t>KARMSUND</t>
  </si>
  <si>
    <t>https://vigilo.no/</t>
  </si>
  <si>
    <t>B2C,Health Care,Machine Learning,Software,Information Technology,Artificial Intelligence,SaaS</t>
  </si>
  <si>
    <t>https://app.vainu.io/vainu/prospect/2494423/</t>
  </si>
  <si>
    <t>PHP, Twitter, Contact Form 7 Wordpress Plugin, Google tag manager, Jquery, Tab Icon, TLS v1.2, Google maps, Microsoft exchange, Vimeo, WordPress 5.1, Wordpress, Facebook, TLS v1.1, jQuery UI 1.12, Font awesome, Cloudflare, Youtube, Mysql, Google analytics, jQuery Migrate, _("Responsive"), Bootstrap, Norwegian, Select2, Html5, Form Html Element, jsDelivr, Javascript, SSL/TLS, Office 365, Website, TLS v1.0, Outlook, WordPress 5, English, UNPKG, Bootstrap 4.7, Instagram, Jquery ui, Google play, Office365 email, DataTables</t>
  </si>
  <si>
    <t>VILECT AS</t>
  </si>
  <si>
    <t>NO917649278</t>
  </si>
  <si>
    <t>Valkyriegata 15A</t>
  </si>
  <si>
    <t>http://www.vilect.com/</t>
  </si>
  <si>
    <t>B2C,Recruiting,Video,Information Technology,Sourcing,Staffing Agency,Retail,SaaS,Human Resources</t>
  </si>
  <si>
    <t>https://app.vainu.io/vainu/prospect/93440728/</t>
  </si>
  <si>
    <t>PHP, Twitter, Squarespace, Stimulus, Jquery, Tab Icon, TLS v1.2, Hubspot Forms, Google font api, Vimeo, Youtube Embed, Adobe Typekit, Facebook, TLS v1.1, React, Clojurescript, _("Responsive"), Pinterest, Intranet, Google analytics, Linkedin, Facebook Share Button Plugin, Google Site Verification, Afterpay, Form Html Element, Javascript, Rollbar, SSL/TLS, Tumblr, Nginx 1.20, Website, TLS v1.0, Nginx, Xhtml, Gmail, Amazon SES, Facebook Domain Verification, Instagram, Amazon web services, Hubspot, New relic</t>
  </si>
  <si>
    <t>VIMOND MEDIA SOLUTIONS AS</t>
  </si>
  <si>
    <t>NO991095632</t>
  </si>
  <si>
    <t>Agnes Mowinckels gate 6</t>
  </si>
  <si>
    <t>vimond.io</t>
  </si>
  <si>
    <t>Video,Content Discovery,Content Delivery Network,Software,Operating Systems,Video Streaming,Real Time,SaaS,Enterprise Software</t>
  </si>
  <si>
    <t>https://app.vainu.io/vainu/prospect/2565777/</t>
  </si>
  <si>
    <t>Twitter, Google tag manager, Hubspot CMS, Jquery, Varnish, TLS v1.2, Mailchimp, Hubspot Forms, Google font api, GoToWebinar, Adobe Typekit, Facebook, Openresty, _("Responsive"), Youtube, Google analytics, Linkedin, Google Site Verification, Form Html Element, Javascript, SSL/TLS, Webflow, Website, Embed.Ly, Blog, Nginx, Gmail, Instagram, Amazon web services, Hubspot</t>
  </si>
  <si>
    <t>VISCENARIO AS</t>
  </si>
  <si>
    <t>NO998718287</t>
  </si>
  <si>
    <t>Holgerslystveien 1E</t>
  </si>
  <si>
    <t>www.viscenario.com</t>
  </si>
  <si>
    <t>Construction,Software,Project Management,Virtual Workforce,Facility Management,Management Information Systems,Real Time,Information Technology,Enterprise Software,SaaS</t>
  </si>
  <si>
    <t>https://app.vainu.io/vainu/prospect/2498746/</t>
  </si>
  <si>
    <t>PHP, Contact Form 7 Wordpress Plugin, Google tag manager, Google play, Jquery, Flash, Vkontakte, TLS v1.2, Google font api, Linkedin Analytics / Advertisement Pixel, Vimeo, Apache 2.4, Youtube Embed, Linkedin Data Partner, Wordpress, Facebook, Facebook pixel, Font awesome, Apache, American Express, Mysql, Google analytics, Linkedin, Youtube, jQuery Migrate, Bootstrap, _("Responsive"), Amazon EC2, Form Html Element, Javascript, SSL/TLS, Openssl, Slick, Tumblr, Website, Snapchat, Whatsapp Website Icon, OpenSSL 1.0, TripAdvisor, Qzone, Linkedin Insight Tag, Php 5.6, Amazon web services, MasterCard, Recaptcha</t>
  </si>
  <si>
    <t>Nb, En, No, De</t>
  </si>
  <si>
    <t>VISENA AS</t>
  </si>
  <si>
    <t>NO981479076</t>
  </si>
  <si>
    <t>Rosenholmveien 25</t>
  </si>
  <si>
    <t>TROLLÅSEN</t>
  </si>
  <si>
    <t>www.visena.com</t>
  </si>
  <si>
    <t>CRM,Software,SaaS,Information Technology</t>
  </si>
  <si>
    <t>https://app.vainu.io/vainu/prospect/2498868/</t>
  </si>
  <si>
    <t>PHP, Twitter, Contact Form 7 Wordpress Plugin, Revslider, Google tag manager, Jquery, Flash, Tab Icon, Facebook Like Button Plugin, TLS v1.2, Lightbox, Google maps, Google font api, Vimeo, Apache 2.4, Youtube Embed, Wordpress, Facebook, TLS v1.1, Revslider 5.4, Facebook pixel, Font awesome, lodash, Apache, Mysql, Ubuntu, Linkedin, jQuery Migrate, Bootstrap, _("Responsive"), Tawk.To Chat, Pinterest, Facebook Share Button Plugin, Google Site Verification, Form Html Element, Javascript, SSL/TLS, animate.css, Office 365, Website, TLS v1.0, Blog, Yoast SEO 15.9, WordPress 5, Yoast SEO, Recaptcha</t>
  </si>
  <si>
    <t>VISMA DIGITAL COMMERCE AS</t>
  </si>
  <si>
    <t>NO918288066</t>
  </si>
  <si>
    <t>Luramyrveien 40</t>
  </si>
  <si>
    <t>Accounting,Software,Cloud Computing,Information Technology,Small and Medium Businesses,E-Learning,Management Information Systems,SaaS,Enterprise Software,Business Information Systems</t>
  </si>
  <si>
    <t>https://app.vainu.io/vainu/prospect/229891147/</t>
  </si>
  <si>
    <t>Ukrainian, PHP, Twitter, Microsoft HTTPAPI, Stimulus, Google tag manager, Atlassian Domain Verification, Danish, Episerver, Jquery, Finnish, Tab Icon, Microsoft IIS, TLS v1.2, Easycruit, Microsoft IIS 10.0, Google font api, Gravatar, Wordpress, Facebook, Windows-Azure-Web, Dutch, Cludo, Oracle marketing cloud, Apache, Vue.js, Intranet, Youtube, Linkedin, Gridsome 0.7, Amazon CloudFront, _("Responsive"), Norwegian, Google Site Verification, Html5, Episerver Forms, Angularjs, Form Html Element, Google Optimize, Javascript, SSL/TLS, Office 365, Swedish, Website, Addthis, Windows-Azure-Web 1.0, Nginx, Microsoft HTTPAPI 2.0, Gmail, Gridsome, Vue.js 91, Microsoft-Httpapi 2.0, Episerver Find 13, Instagram, Amazon web services, Jquery ui, Microsoft-HTTPAPI</t>
  </si>
  <si>
    <t>Lv, Sv, Fi, Nl, Da, Es, En, No</t>
  </si>
  <si>
    <t>VISMA SOFTWARE AS</t>
  </si>
  <si>
    <t>NO933646920</t>
  </si>
  <si>
    <t>Postboks 733  Skøyen</t>
  </si>
  <si>
    <t>visma.com</t>
  </si>
  <si>
    <t>https://app.vainu.io/vainu/prospect/2626455/</t>
  </si>
  <si>
    <t>VISUAL REGISTRATION SYSTEM AS</t>
  </si>
  <si>
    <t>NO920714978</t>
  </si>
  <si>
    <t>Holmavegen 29</t>
  </si>
  <si>
    <t>ODDA</t>
  </si>
  <si>
    <t>www.visualregistration.no</t>
  </si>
  <si>
    <t>Software,Project Management,Information Technology,Task Management,Virtual Workforce,Enterprise,Consumer Software,Small and Medium Businesses,Productivity Tools,Management Information Systems,SaaS,Scheduling,Business Information Systems</t>
  </si>
  <si>
    <t>https://app.vainu.io/vainu/prospect/1073835894/</t>
  </si>
  <si>
    <t>PHP, Contact Form 7 Wordpress Plugin, Google tag manager, Jquery, Tab Icon, Vkontakte, TLS v1.2, Swiper Slider, Google font api, Microsoft exchange, Vimeo, Wordpress, Facebook, TLS v1.1, Cloudflare, _("Responsive"), Mysql, jQuery Migrate, Norwegian, Google Site Verification, Html5, Intercom, Form Html Element, Office365 email, Javascript, SSL/TLS, Google Plus, Tumblr, Office 365, Website, TLS v1.0, Blog, Whatsapp Website Icon, Outlook, English, Google play, Elementor</t>
  </si>
  <si>
    <t>WEBSHIPPER APS</t>
  </si>
  <si>
    <t>NO820443802</t>
  </si>
  <si>
    <t>c/o Nordic DC Mail Boxes etc. 348 Pløens gate 4</t>
  </si>
  <si>
    <t>webshipper.com</t>
  </si>
  <si>
    <t>B2C,E-Commerce,Internet,Product Search,E-Commerce Platforms,Software,Marketplace,Shipping,Supply Chain Management,SaaS,B2B,Logistics</t>
  </si>
  <si>
    <t>https://app.vainu.io/vainu/prospect/895910646/</t>
  </si>
  <si>
    <t>PHP, Twitter, Active Campaign, WP Engine, Opencart, Ecwid, Google tag manager, Danish, Jquery, Tab Icon, Vkontakte, TLS v1.2, Mailchimp, Hubspot Forms, Swiper Slider, Google font api, Vimeo, Wordpress, Facebook, TLS v1.1, Font awesome, lodash, Youtube, Mysql, Google analytics, Linkedin, Cookiebot, jQuery Migrate, Bootstrap, _("Responsive"), Norwegian, Google Site Verification, Html5, Form Html Element, Javascript, German, SSL/TLS, Google Plus, Tumblr, _("Online_Store"), Google Cloud, Website, Swedish, TLS v1.0, Trustpilot, Whatsapp Website Icon, Nginx, Zurb foundation, Moment.js, Gmail, Amazon SES, English, UNPKG, Facebook Domain Verification, Amazon web services, Elementor, Castle Accont Takeout Prevention, Calendly</t>
  </si>
  <si>
    <t>WINNINGTEMP AS</t>
  </si>
  <si>
    <t>NO921850190</t>
  </si>
  <si>
    <t>c/o Sparebank 1 SR-bank forretningspartner AS avd. Oslo Kongens gate 12</t>
  </si>
  <si>
    <t>www.winningtemp.com</t>
  </si>
  <si>
    <t>Machine Learning,Talent Management,Software,Information Technology,Analytics,Enterprise,Virtual Workforce,Artificial Intelligence,Employee Engagement,Management Information Systems,SaaS,Enterprise Software,Human Resources</t>
  </si>
  <si>
    <t>https://app.vainu.io/vainu/prospect/1447147851/</t>
  </si>
  <si>
    <t>PHP, Bootstrap 5.1, Twitter, Typekit, Google tag manager, Hubspot CMS, Danish, Jquery, Tab Icon, Varnish, Microsoft IIS, TLS v1.2, Hubspot Forms, Google maps, Microsoft IIS 10.0, GoToWebinar, Google font api, Vimeo, Microsoft exchange, Youtube Embed, Wordpress, Adobe Typekit, Facebook, Openresty, Cookiebot, Youtube, _("Responsive"), Google analytics, Linkedin, Microsoft asp.net, Bootstrap, Norwegian, Facebook Share Button Plugin, Google Site Verification, Zendesk, Hubspot Marketing Hub, Form Html Element, Google Optimize, Javascript, Smartyads, SSL/TLS, Webflow, Office 365, Website, Swedish, Nginx, Outlook, Flickity, Amazon SES, English, UNPKG, SweetAlert2, Apple App Store, Instagram, Google play, Office365 email, Hubspot, Twitter typeahead.js</t>
  </si>
  <si>
    <t>WOOMULTISTORE AS</t>
  </si>
  <si>
    <t>NO925703737</t>
  </si>
  <si>
    <t>c/o Tonny Kluften Lilaasveien 3B</t>
  </si>
  <si>
    <t>HORTEN</t>
  </si>
  <si>
    <t>woomultistore.com</t>
  </si>
  <si>
    <t>E-Commerce,Internet,Product Search,E-Commerce Platforms,Software,SaaS</t>
  </si>
  <si>
    <t>https://app.vainu.io/vainu/prospect/2213895759/</t>
  </si>
  <si>
    <t>PHP, Doubleclick, Jquery, Tab Icon, Woocommerce, TLS v1.2, Divi, Lightbox, Mailchimp, Vimeo, Underscore.js 1.13, Youtube Embed, Wordpress, Facebook, Slack, TLS v1.1, _("Responsive"), Mysql, TinyMCE, Google analytics, jQuery Migrate, Gauges, Google Site Verification, Form Html Element, Javascript, SSL/TLS, _("Online_Store"), Website, Blog, Nginx, Flickr, Samsung Pay, WooCommerce 5.6, Apple Pay, Underscore.js, MasterCard, Olark</t>
  </si>
  <si>
    <t>XAIT AS</t>
  </si>
  <si>
    <t>NO982339243</t>
  </si>
  <si>
    <t>Kanalsletta 4</t>
  </si>
  <si>
    <t>xait.com</t>
  </si>
  <si>
    <t>Computer,Document Management,Software,Enterprise,Consumer Software,Contract Management,Business Information Systems,Management Information Systems,Information Technology,B2B,Enterprise Software,SaaS</t>
  </si>
  <si>
    <t>https://app.vainu.io/vainu/prospect/2723917/</t>
  </si>
  <si>
    <t>Webtemp, PHP, Twitter, Typekit, Google tag manager, Hubspot CMS, Jquery, Tab Icon, Hubspot Forms, Google maps, Google font api, GoToWebinar, Linkedin Analytics / Advertisement Pixel, Vimeo, Linkedin Data Partner, Adobe Typekit, Facebook, Font awesome, Cloudflare, Youtube, _("Responsive"), Google analytics, Linkedin, Amazon CloudFront, Facebook Share Button Plugin, Html5, Hubspot Marketing Hub, Form Html Element, Javascript, HubSpot CMS Hub, Office 365, Website, Gmail, Flickity, UNPKG, Linkedin Insight Tag, Amazon web services, Hubspot</t>
  </si>
  <si>
    <t>XLEDGER AS</t>
  </si>
  <si>
    <t>NO987290986</t>
  </si>
  <si>
    <t>Postboks 6662</t>
  </si>
  <si>
    <t>www.xledger.no</t>
  </si>
  <si>
    <t>Accounting,Enterprise Resource Planning (ERP),Software,Information Technology,Business Information Systems,SaaS,Management Information Systems</t>
  </si>
  <si>
    <t>https://app.vainu.io/vainu/prospect/2724752/</t>
  </si>
  <si>
    <t>PHP, Twitter, Contact Form 7 Wordpress Plugin, Google tag manager, Jquery, Tab Icon, TLS v1.2, Google maps, Google font api, Microsoft exchange, Apache 2.4, Hotjar, Microsoft azure, Wordpress, Facebook, TLS v1.1, Apache, Youtube, Mysql, Google analytics, Linkedin, _("Responsive"), Ubuntu, Google Site Verification, Zendesk, Form Html Element, jsDelivr, Javascript, SSL/TLS, Slick, Website, TLS v1.0, Outlook, Yoast SEO, Yoast SEO 17.1, Instagram, W3 total cache, Cision, Elastic Email, Office365 email, Recaptcha</t>
  </si>
  <si>
    <t>XLEDGER GROUP AS</t>
  </si>
  <si>
    <t>NO981937619</t>
  </si>
  <si>
    <t>https://xledger.no/</t>
  </si>
  <si>
    <t>Accounting,Enterprise Resource Planning (ERP),Software,Information Technology,Management Information Systems,SaaS,Business Information Systems</t>
  </si>
  <si>
    <t>https://app.vainu.io/vainu/prospect/2724755/</t>
  </si>
  <si>
    <t>XLEDGER LABS AS</t>
  </si>
  <si>
    <t>NO981641205</t>
  </si>
  <si>
    <t>www.xledger.com</t>
  </si>
  <si>
    <t>Professional Services,Accounting,Enterprise Resource Planning (ERP),Software,Information Technology,Small and Medium Businesses,Business Information Systems,Management Information Systems,SaaS,Logistics,Financial Services</t>
  </si>
  <si>
    <t>https://app.vainu.io/vainu/prospect/2724758/</t>
  </si>
  <si>
    <t>PHP, Twitter, Contact Form 7 Wordpress Plugin, Google tag manager, Jquery, Flash, Tab Icon, Leadforensics, TLS v1.2, Mailchimp, BPM Online CRM, Google maps, Linkedin Analytics / Advertisement Pixel, Google font api, Microsoft exchange, Apache 2.4, Youtube Embed, Microsoft azure, Hotjar, Linkedin Data Partner, Wordpress, Facebook, Canddi, Slack, TLS v1.1, Apache, Youtube, Mysql, Google analytics, Linkedin, Ubuntu, _("Responsive"), Google Site Verification, Zendesk, Form Html Element, jsDelivr, Google Optimize, Javascript, SSL/TLS, Slick, Leadfeeder, Website, TLS v1.0, Outlook, Yoast SEO, Yoast SEO 17.1, Instagram, Linkedin Insight Tag, W3 total cache, Elastic Email, Office365 email, Recaptcha</t>
  </si>
  <si>
    <t>ZEGEBA AS</t>
  </si>
  <si>
    <t>NO814777812</t>
  </si>
  <si>
    <t>Postvegen 2</t>
  </si>
  <si>
    <t>www.zegeba.com</t>
  </si>
  <si>
    <t>Apps,Web Development,Mobile,Software,SaaS,Project Management,Enterprise,Consumer Software,API,Productivity Tools,Management Information Systems,Information Technology,Application Performance Management,Enterprise Software,Enterprise Applications</t>
  </si>
  <si>
    <t>https://app.vainu.io/vainu/prospect/2761437/</t>
  </si>
  <si>
    <t>PHP, Twitter, Revslider 6.4, Contact Form 7 Wordpress Plugin, Revslider, Google tag manager, Yoast SEO 16.7, Jquery, Litespeed, Tab Icon, TLS v1.2, Google font api, Microsoft exchange, Vimeo, Youtube Embed, Zgs, Wordpress, Facebook, TLS v1.1, Apache, _("Responsive"), Mysql, Google analytics, Linkedin, jQuery Migrate, Bootstrap, Global Site Tag, Pinterest, Facebook Share Button Plugin, Google Site Verification, Html5, Form Html Element, Javascript, SSL/TLS, animate.css, Office 365, Website, TLS v1.0, Zurb foundation, Outlook, WordPress 5, Yoast SEO, OWL Carousel, Office365 email, Recaptcha</t>
  </si>
  <si>
    <t>ZELO AS</t>
  </si>
  <si>
    <t>NO919670800</t>
  </si>
  <si>
    <t>Hospitalsgata 6</t>
  </si>
  <si>
    <t>https://www.zeloapp.com/</t>
  </si>
  <si>
    <t>Video Chat,Machine Learning,Software,Messaging,Information Technology,Artificial Intelligence,Contact Management,Real Time,SaaS,Enterprise Software</t>
  </si>
  <si>
    <t>https://app.vainu.io/vainu/prospect/665737837/</t>
  </si>
  <si>
    <t>Google tag manager, Jquery, Varnish, TLS v1.2, Google font api, Vimeo, Adobe Typekit, Facebook, Openresty, Slack, Facebook pixel, _("Responsive"), Intranet, Google analytics, Linkedin, Google Site Verification, Form Html Element, Javascript, SSL/TLS, Webflow, Website, Embed.Ly, Nginx, Gmail, Recaptcha, Calendly</t>
  </si>
  <si>
    <t>ZENO AS</t>
  </si>
  <si>
    <t>NO925700215</t>
  </si>
  <si>
    <t>Motzfeldts gate 12</t>
  </si>
  <si>
    <t>zeno.com</t>
  </si>
  <si>
    <t>Guides,Software,Business Travel,Travel,Tourism,SaaS</t>
  </si>
  <si>
    <t>https://app.vainu.io/vainu/prospect/2213895487/</t>
  </si>
  <si>
    <t>PHP, Twitter, Google tag manager, Hubspot CMS, Jquery, Tab Icon, Vidyard, Vkontakte, TLS v1.2, Hubspot Forms, Google font api, GoToWebinar, Linkedin Analytics / Advertisement Pixel, Vimeo, Microsoft exchange, Youtube Embed, Hotjar, Linkedin Data Partner, Booking Widget (All), Facebook, Linkedin Sign-in, AMP, Cloudflare, American Express, _("Responsive"), Google analytics, Linkedin, Amazon CloudFront, Facebook Share Button Plugin, Google Site Verification, Zendesk, Hubspot Marketing Hub, Form Html Element, Modernizr, Choices, Javascript, SSL/TLS, Webflow, Google Plus, Tumblr, animate.css, HubSpot CMS Hub, Office 365, Website, Outlook, Google Firebase, OWL Carousel, Linkedin Insight Tag, Amazon web services, Jquery ui, Office365 email, Hubspot</t>
  </si>
  <si>
    <t>Sleep Cycle AB (publ)</t>
  </si>
  <si>
    <t>Gårdatorget 1, 3tr</t>
  </si>
  <si>
    <t>https://www.sleepcycle.com/</t>
  </si>
  <si>
    <t>Assistive Technology,Health Care,Consumer Electronics,Wearables,Software,Wellness</t>
  </si>
  <si>
    <t>https://app.vainu.io/vainu/prospect/1242171/</t>
  </si>
  <si>
    <t>SSL/TLS, Google play, jsDelivr, Select2, cpp, Slack, GoToWebinar, Google analytics, Frontity, Cloudflare, TLS v1.2, Jquery, Zendesk Chat, lodash, Javascript, React, Vue.js, Website, Google maps, Gravatar, Hubspot, Webpack, Hubspot CMS, Form Html Element, Wordpress, Mailgun, Google Site Verification, Adjust, Facebook Domain Verification, Contact Form 7 Wordpress Plugin, Google tag manager, Html5, TLS v1.0, Tab Icon, Gmail, Google font api, Mysql, Chart.js 2.7, Linkedin, Hubspot Forms, PHP, Zendesk, _("Responsive"), Chart.js, TLS v1.1</t>
  </si>
  <si>
    <t>Fr, Sv, En, la, Da, Nl</t>
  </si>
  <si>
    <t>Pleo Financial Services A/S</t>
  </si>
  <si>
    <t>DK39155435</t>
  </si>
  <si>
    <t>Ravnsborg Tværgade 5C, 4.</t>
  </si>
  <si>
    <t>https://www.pleo.io</t>
  </si>
  <si>
    <t>Financial Services,SaaS,FinTech,Information Technology,Finance,Software,Small and Medium Businesses,Payments,API,Accounting</t>
  </si>
  <si>
    <t>https://app.vainu.io/vainu/prospect/809208035/</t>
  </si>
  <si>
    <t>SSL/TLS, Amazon SES, Nginx, Youtube, Gatsby, Google analytics, MasterCard, Greenhouse, Hotjar, Blog, TLS v1.2, Jquery, Atlassian Statuspage, AmazonS, React, Javascript, Website, Recaptcha, Webpack, Fastly, Instagram, Form Html Element, Gatsby 3.8, Segment, Google Site Verification, Intercom, Apple Pay, Trustpilot, Prismic.Io, Facebook, Html5, Hubspot Email, TLS v1.0, Tab Icon, Microsoft exchange, Gmail, Amazon web services, Amplitude, Google font api, Outlook, Linkedin, Google Pay, Gatsby 2.32, Google Plus, _("Responsive"), ZOOM, Wistia, TLS v1.1, Twitter, Amazon CloudFront</t>
  </si>
  <si>
    <t>Information Technology,Virtual Workforce,Artificial Intelligence,Social Media Marketing,Public Relations,SaaS,Human Resources</t>
  </si>
  <si>
    <t>17.03.2011</t>
  </si>
  <si>
    <t>Liikennevirta Oy</t>
  </si>
  <si>
    <t>2588986-2</t>
  </si>
  <si>
    <t>www.virta.fi</t>
  </si>
  <si>
    <t>Electrical Distribution,Software,Electronics,Automotive,Energy</t>
  </si>
  <si>
    <t>https://app.vainu.io/vainu/prospect/214879/</t>
  </si>
  <si>
    <t>jQuery UI 1.12, HubSpot CMS Hub, Hubspot CMS, Tab Icon, Outlook, Zendesk, Hubspot Marketing Hub, Google font api, Youtube Embed, UNPKG, TLS v1.2, Instagram, Amazon CloudFront, Slick, Jquery ui, GoToWebinar, Twitter, Hubspot Forms, Leadfeeder, Linkedin Sign-in, Google play, English, Facebook, Microsoft exchange, Form Html Element, French, Google tag manager, Amazon SES, German, Finnish, PHP, Website, Cookiebot, Amazon web services, Hubspot, React, AMP, Office365 email, Linkedin, SSL/TLS, Zendesk Chat, Cloudflare, Jquery, CreateSend, Javascript, Vimeo, jsDelivr, Swedish, Pinterest, Dropbox, Facebook Share Button Plugin, _("Responsive"), Youtube, Wordpress, Apple App Store, Office 365</t>
  </si>
  <si>
    <t>acconomy.com</t>
  </si>
  <si>
    <t>Finance,FinTech,Financial Services,Billing,Accounting,Payments,Information Technology,SaaS,Software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</si>
</sst>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2"/>
      <color theme="1"/>
      <name val="Calibri"/>
      <family val="2"/>
      <scheme val="minor"/>
    </font>
    <font>
      <b/>
      <sz val="12"/>
      <color theme="1"/>
      <name val="Calibri"/>
      <family val="2"/>
      <scheme val="minor"/>
    </font>
    <font>
      <sz val="12"/>
      <color rgb="FF000000"/>
      <name val="Calibri"/>
      <family val="2"/>
      <scheme val="minor"/>
    </font>
    <font>
      <sz val="8"/>
      <name val="Calibri"/>
      <family val="2"/>
      <scheme val="minor"/>
    </font>
  </fonts>
  <fills count="3">
    <fill>
      <patternFill patternType="none"/>
    </fill>
    <fill>
      <patternFill patternType="gray125"/>
    </fill>
    <fill>
      <patternFill patternType="solid">
        <fgColor theme="0"/>
        <bgColor indexed="64"/>
      </patternFill>
    </fill>
  </fills>
  <borders count="1">
    <border>
      <left/>
      <right/>
      <top/>
      <bottom/>
      <diagonal/>
    </border>
  </borders>
  <cellStyleXfs count="1">
    <xf numFmtId="0" fontId="0" fillId="0" borderId="0"/>
  </cellStyleXfs>
  <cellXfs count="5">
    <xf numFmtId="0" fontId="0" fillId="0" borderId="0" xfId="0"/>
    <xf numFmtId="0" fontId="2" fillId="0" borderId="0" xfId="0" applyFont="1"/>
    <xf numFmtId="0" fontId="1" fillId="0" borderId="0" xfId="0" applyFont="1"/>
    <xf numFmtId="0" fontId="0" fillId="2" borderId="0" xfId="0" applyFill="1" applyBorder="1"/>
    <xf numFmtId="0" fontId="0" fillId="2" borderId="0" xfId="0" applyFill="1"/>
  </cellXfs>
  <cellStyles count="1">
    <cellStyle name="Normal" xfId="0" builtinId="0"/>
  </cellStyles>
  <dxfs count="0"/>
  <tableStyles count="0" defaultTableStyle="TableStyleMedium9" defaultPivotStyle="PivotStyleMedium7"/>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8"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4" Type="http://schemas.openxmlformats.org/officeDocument/2006/relationships/image" Target="../media/image4.png"/><Relationship Id="rId1" Type="http://schemas.openxmlformats.org/officeDocument/2006/relationships/image" Target="../media/image1.png"/><Relationship Id="rId2"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7.png"/><Relationship Id="rId4" Type="http://schemas.openxmlformats.org/officeDocument/2006/relationships/image" Target="../media/image8.png"/><Relationship Id="rId1" Type="http://schemas.openxmlformats.org/officeDocument/2006/relationships/image" Target="../media/image5.png"/><Relationship Id="rId2"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1.png"/><Relationship Id="rId4" Type="http://schemas.openxmlformats.org/officeDocument/2006/relationships/image" Target="../media/image12.png"/><Relationship Id="rId1" Type="http://schemas.openxmlformats.org/officeDocument/2006/relationships/image" Target="../media/image9.png"/><Relationship Id="rId2" Type="http://schemas.openxmlformats.org/officeDocument/2006/relationships/image" Target="../media/image10.png"/></Relationships>
</file>

<file path=xl/drawings/_rels/drawing4.xml.rels><?xml version="1.0" encoding="UTF-8" standalone="yes"?>
<Relationships xmlns="http://schemas.openxmlformats.org/package/2006/relationships"><Relationship Id="rId3" Type="http://schemas.openxmlformats.org/officeDocument/2006/relationships/image" Target="../media/image15.png"/><Relationship Id="rId4" Type="http://schemas.openxmlformats.org/officeDocument/2006/relationships/image" Target="../media/image16.png"/><Relationship Id="rId1" Type="http://schemas.openxmlformats.org/officeDocument/2006/relationships/image" Target="../media/image13.png"/><Relationship Id="rId2" Type="http://schemas.openxmlformats.org/officeDocument/2006/relationships/image" Target="../media/image1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50800</xdr:rowOff>
    </xdr:from>
    <xdr:to>
      <xdr:col>7</xdr:col>
      <xdr:colOff>508000</xdr:colOff>
      <xdr:row>17</xdr:row>
      <xdr:rowOff>184168</xdr:rowOff>
    </xdr:to>
    <xdr:pic>
      <xdr:nvPicPr>
        <xdr:cNvPr id="2" name="Picture 1"/>
        <xdr:cNvPicPr>
          <a:picLocks noChangeAspect="1"/>
        </xdr:cNvPicPr>
      </xdr:nvPicPr>
      <xdr:blipFill>
        <a:blip xmlns:r="http://schemas.openxmlformats.org/officeDocument/2006/relationships" r:embed="rId1"/>
        <a:stretch>
          <a:fillRect/>
        </a:stretch>
      </xdr:blipFill>
      <xdr:spPr>
        <a:xfrm>
          <a:off x="0" y="50800"/>
          <a:ext cx="9601200" cy="3587768"/>
        </a:xfrm>
        <a:prstGeom prst="rect">
          <a:avLst/>
        </a:prstGeom>
      </xdr:spPr>
    </xdr:pic>
    <xdr:clientData/>
  </xdr:twoCellAnchor>
  <xdr:twoCellAnchor editAs="oneCell">
    <xdr:from>
      <xdr:col>7</xdr:col>
      <xdr:colOff>533400</xdr:colOff>
      <xdr:row>0</xdr:row>
      <xdr:rowOff>62514</xdr:rowOff>
    </xdr:from>
    <xdr:to>
      <xdr:col>7</xdr:col>
      <xdr:colOff>3365500</xdr:colOff>
      <xdr:row>17</xdr:row>
      <xdr:rowOff>156909</xdr:rowOff>
    </xdr:to>
    <xdr:pic>
      <xdr:nvPicPr>
        <xdr:cNvPr id="3" name="Picture 2"/>
        <xdr:cNvPicPr>
          <a:picLocks noChangeAspect="1"/>
        </xdr:cNvPicPr>
      </xdr:nvPicPr>
      <xdr:blipFill>
        <a:blip xmlns:r="http://schemas.openxmlformats.org/officeDocument/2006/relationships" r:embed="rId2"/>
        <a:stretch>
          <a:fillRect/>
        </a:stretch>
      </xdr:blipFill>
      <xdr:spPr>
        <a:xfrm>
          <a:off x="9626600" y="62514"/>
          <a:ext cx="2832100" cy="3548795"/>
        </a:xfrm>
        <a:prstGeom prst="rect">
          <a:avLst/>
        </a:prstGeom>
      </xdr:spPr>
    </xdr:pic>
    <xdr:clientData/>
  </xdr:twoCellAnchor>
  <xdr:twoCellAnchor editAs="oneCell">
    <xdr:from>
      <xdr:col>7</xdr:col>
      <xdr:colOff>3378200</xdr:colOff>
      <xdr:row>0</xdr:row>
      <xdr:rowOff>63500</xdr:rowOff>
    </xdr:from>
    <xdr:to>
      <xdr:col>8</xdr:col>
      <xdr:colOff>1181100</xdr:colOff>
      <xdr:row>18</xdr:row>
      <xdr:rowOff>12700</xdr:rowOff>
    </xdr:to>
    <xdr:pic>
      <xdr:nvPicPr>
        <xdr:cNvPr id="4" name="Picture 3"/>
        <xdr:cNvPicPr>
          <a:picLocks noChangeAspect="1"/>
        </xdr:cNvPicPr>
      </xdr:nvPicPr>
      <xdr:blipFill>
        <a:blip xmlns:r="http://schemas.openxmlformats.org/officeDocument/2006/relationships" r:embed="rId3"/>
        <a:stretch>
          <a:fillRect/>
        </a:stretch>
      </xdr:blipFill>
      <xdr:spPr>
        <a:xfrm>
          <a:off x="12471400" y="63500"/>
          <a:ext cx="6553200" cy="3606800"/>
        </a:xfrm>
        <a:prstGeom prst="rect">
          <a:avLst/>
        </a:prstGeom>
      </xdr:spPr>
    </xdr:pic>
    <xdr:clientData/>
  </xdr:twoCellAnchor>
  <xdr:twoCellAnchor editAs="oneCell">
    <xdr:from>
      <xdr:col>8</xdr:col>
      <xdr:colOff>1206500</xdr:colOff>
      <xdr:row>0</xdr:row>
      <xdr:rowOff>25400</xdr:rowOff>
    </xdr:from>
    <xdr:to>
      <xdr:col>9</xdr:col>
      <xdr:colOff>4064000</xdr:colOff>
      <xdr:row>17</xdr:row>
      <xdr:rowOff>165100</xdr:rowOff>
    </xdr:to>
    <xdr:pic>
      <xdr:nvPicPr>
        <xdr:cNvPr id="5" name="Picture 4"/>
        <xdr:cNvPicPr>
          <a:picLocks noChangeAspect="1"/>
        </xdr:cNvPicPr>
      </xdr:nvPicPr>
      <xdr:blipFill>
        <a:blip xmlns:r="http://schemas.openxmlformats.org/officeDocument/2006/relationships" r:embed="rId4"/>
        <a:stretch>
          <a:fillRect/>
        </a:stretch>
      </xdr:blipFill>
      <xdr:spPr>
        <a:xfrm>
          <a:off x="19050000" y="25400"/>
          <a:ext cx="6553200" cy="35941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12700</xdr:colOff>
      <xdr:row>0</xdr:row>
      <xdr:rowOff>125464</xdr:rowOff>
    </xdr:from>
    <xdr:to>
      <xdr:col>7</xdr:col>
      <xdr:colOff>635000</xdr:colOff>
      <xdr:row>17</xdr:row>
      <xdr:rowOff>38100</xdr:rowOff>
    </xdr:to>
    <xdr:pic>
      <xdr:nvPicPr>
        <xdr:cNvPr id="3" name="Picture 2"/>
        <xdr:cNvPicPr>
          <a:picLocks noChangeAspect="1"/>
        </xdr:cNvPicPr>
      </xdr:nvPicPr>
      <xdr:blipFill>
        <a:blip xmlns:r="http://schemas.openxmlformats.org/officeDocument/2006/relationships" r:embed="rId1"/>
        <a:stretch>
          <a:fillRect/>
        </a:stretch>
      </xdr:blipFill>
      <xdr:spPr>
        <a:xfrm>
          <a:off x="12700" y="125464"/>
          <a:ext cx="9042400" cy="3367036"/>
        </a:xfrm>
        <a:prstGeom prst="rect">
          <a:avLst/>
        </a:prstGeom>
      </xdr:spPr>
    </xdr:pic>
    <xdr:clientData/>
  </xdr:twoCellAnchor>
  <xdr:twoCellAnchor editAs="oneCell">
    <xdr:from>
      <xdr:col>7</xdr:col>
      <xdr:colOff>654257</xdr:colOff>
      <xdr:row>0</xdr:row>
      <xdr:rowOff>76200</xdr:rowOff>
    </xdr:from>
    <xdr:to>
      <xdr:col>7</xdr:col>
      <xdr:colOff>4241801</xdr:colOff>
      <xdr:row>17</xdr:row>
      <xdr:rowOff>19135</xdr:rowOff>
    </xdr:to>
    <xdr:pic>
      <xdr:nvPicPr>
        <xdr:cNvPr id="4" name="Picture 3"/>
        <xdr:cNvPicPr>
          <a:picLocks noChangeAspect="1"/>
        </xdr:cNvPicPr>
      </xdr:nvPicPr>
      <xdr:blipFill>
        <a:blip xmlns:r="http://schemas.openxmlformats.org/officeDocument/2006/relationships" r:embed="rId2"/>
        <a:stretch>
          <a:fillRect/>
        </a:stretch>
      </xdr:blipFill>
      <xdr:spPr>
        <a:xfrm>
          <a:off x="9074357" y="76200"/>
          <a:ext cx="3587544" cy="3397335"/>
        </a:xfrm>
        <a:prstGeom prst="rect">
          <a:avLst/>
        </a:prstGeom>
      </xdr:spPr>
    </xdr:pic>
    <xdr:clientData/>
  </xdr:twoCellAnchor>
  <xdr:twoCellAnchor editAs="oneCell">
    <xdr:from>
      <xdr:col>7</xdr:col>
      <xdr:colOff>4328925</xdr:colOff>
      <xdr:row>0</xdr:row>
      <xdr:rowOff>109248</xdr:rowOff>
    </xdr:from>
    <xdr:to>
      <xdr:col>9</xdr:col>
      <xdr:colOff>409677</xdr:colOff>
      <xdr:row>17</xdr:row>
      <xdr:rowOff>102012</xdr:rowOff>
    </xdr:to>
    <xdr:pic>
      <xdr:nvPicPr>
        <xdr:cNvPr id="5" name="Picture 4"/>
        <xdr:cNvPicPr>
          <a:picLocks noChangeAspect="1"/>
        </xdr:cNvPicPr>
      </xdr:nvPicPr>
      <xdr:blipFill>
        <a:blip xmlns:r="http://schemas.openxmlformats.org/officeDocument/2006/relationships" r:embed="rId3"/>
        <a:stretch>
          <a:fillRect/>
        </a:stretch>
      </xdr:blipFill>
      <xdr:spPr>
        <a:xfrm>
          <a:off x="12727312" y="109248"/>
          <a:ext cx="6418279" cy="3475022"/>
        </a:xfrm>
        <a:prstGeom prst="rect">
          <a:avLst/>
        </a:prstGeom>
      </xdr:spPr>
    </xdr:pic>
    <xdr:clientData/>
  </xdr:twoCellAnchor>
  <xdr:twoCellAnchor editAs="oneCell">
    <xdr:from>
      <xdr:col>9</xdr:col>
      <xdr:colOff>382365</xdr:colOff>
      <xdr:row>0</xdr:row>
      <xdr:rowOff>81935</xdr:rowOff>
    </xdr:from>
    <xdr:to>
      <xdr:col>9</xdr:col>
      <xdr:colOff>6791541</xdr:colOff>
      <xdr:row>17</xdr:row>
      <xdr:rowOff>95591</xdr:rowOff>
    </xdr:to>
    <xdr:pic>
      <xdr:nvPicPr>
        <xdr:cNvPr id="6" name="Picture 5"/>
        <xdr:cNvPicPr>
          <a:picLocks noChangeAspect="1"/>
        </xdr:cNvPicPr>
      </xdr:nvPicPr>
      <xdr:blipFill>
        <a:blip xmlns:r="http://schemas.openxmlformats.org/officeDocument/2006/relationships" r:embed="rId4"/>
        <a:stretch>
          <a:fillRect/>
        </a:stretch>
      </xdr:blipFill>
      <xdr:spPr>
        <a:xfrm>
          <a:off x="19118279" y="81935"/>
          <a:ext cx="6409176" cy="349591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12700</xdr:colOff>
      <xdr:row>0</xdr:row>
      <xdr:rowOff>12700</xdr:rowOff>
    </xdr:from>
    <xdr:to>
      <xdr:col>7</xdr:col>
      <xdr:colOff>1701800</xdr:colOff>
      <xdr:row>18</xdr:row>
      <xdr:rowOff>43731</xdr:rowOff>
    </xdr:to>
    <xdr:pic>
      <xdr:nvPicPr>
        <xdr:cNvPr id="6" name="Picture 5"/>
        <xdr:cNvPicPr>
          <a:picLocks noChangeAspect="1"/>
        </xdr:cNvPicPr>
      </xdr:nvPicPr>
      <xdr:blipFill>
        <a:blip xmlns:r="http://schemas.openxmlformats.org/officeDocument/2006/relationships" r:embed="rId1"/>
        <a:stretch>
          <a:fillRect/>
        </a:stretch>
      </xdr:blipFill>
      <xdr:spPr>
        <a:xfrm>
          <a:off x="12700" y="12700"/>
          <a:ext cx="9880600" cy="3688631"/>
        </a:xfrm>
        <a:prstGeom prst="rect">
          <a:avLst/>
        </a:prstGeom>
      </xdr:spPr>
    </xdr:pic>
    <xdr:clientData/>
  </xdr:twoCellAnchor>
  <xdr:twoCellAnchor editAs="oneCell">
    <xdr:from>
      <xdr:col>7</xdr:col>
      <xdr:colOff>4381500</xdr:colOff>
      <xdr:row>0</xdr:row>
      <xdr:rowOff>25400</xdr:rowOff>
    </xdr:from>
    <xdr:to>
      <xdr:col>9</xdr:col>
      <xdr:colOff>1333500</xdr:colOff>
      <xdr:row>17</xdr:row>
      <xdr:rowOff>177800</xdr:rowOff>
    </xdr:to>
    <xdr:pic>
      <xdr:nvPicPr>
        <xdr:cNvPr id="8" name="Picture 7"/>
        <xdr:cNvPicPr>
          <a:picLocks noChangeAspect="1"/>
        </xdr:cNvPicPr>
      </xdr:nvPicPr>
      <xdr:blipFill>
        <a:blip xmlns:r="http://schemas.openxmlformats.org/officeDocument/2006/relationships" r:embed="rId2"/>
        <a:stretch>
          <a:fillRect/>
        </a:stretch>
      </xdr:blipFill>
      <xdr:spPr>
        <a:xfrm>
          <a:off x="12573000" y="25400"/>
          <a:ext cx="6578600" cy="3606800"/>
        </a:xfrm>
        <a:prstGeom prst="rect">
          <a:avLst/>
        </a:prstGeom>
      </xdr:spPr>
    </xdr:pic>
    <xdr:clientData/>
  </xdr:twoCellAnchor>
  <xdr:twoCellAnchor editAs="oneCell">
    <xdr:from>
      <xdr:col>7</xdr:col>
      <xdr:colOff>1676400</xdr:colOff>
      <xdr:row>0</xdr:row>
      <xdr:rowOff>0</xdr:rowOff>
    </xdr:from>
    <xdr:to>
      <xdr:col>7</xdr:col>
      <xdr:colOff>4373569</xdr:colOff>
      <xdr:row>18</xdr:row>
      <xdr:rowOff>88900</xdr:rowOff>
    </xdr:to>
    <xdr:pic>
      <xdr:nvPicPr>
        <xdr:cNvPr id="9" name="Picture 8"/>
        <xdr:cNvPicPr>
          <a:picLocks noChangeAspect="1"/>
        </xdr:cNvPicPr>
      </xdr:nvPicPr>
      <xdr:blipFill>
        <a:blip xmlns:r="http://schemas.openxmlformats.org/officeDocument/2006/relationships" r:embed="rId3"/>
        <a:stretch>
          <a:fillRect/>
        </a:stretch>
      </xdr:blipFill>
      <xdr:spPr>
        <a:xfrm>
          <a:off x="9867900" y="0"/>
          <a:ext cx="2697169" cy="3746500"/>
        </a:xfrm>
        <a:prstGeom prst="rect">
          <a:avLst/>
        </a:prstGeom>
      </xdr:spPr>
    </xdr:pic>
    <xdr:clientData/>
  </xdr:twoCellAnchor>
  <xdr:twoCellAnchor editAs="oneCell">
    <xdr:from>
      <xdr:col>10</xdr:col>
      <xdr:colOff>508000</xdr:colOff>
      <xdr:row>0</xdr:row>
      <xdr:rowOff>38100</xdr:rowOff>
    </xdr:from>
    <xdr:to>
      <xdr:col>17</xdr:col>
      <xdr:colOff>139700</xdr:colOff>
      <xdr:row>17</xdr:row>
      <xdr:rowOff>177800</xdr:rowOff>
    </xdr:to>
    <xdr:pic>
      <xdr:nvPicPr>
        <xdr:cNvPr id="10" name="Picture 9"/>
        <xdr:cNvPicPr>
          <a:picLocks noChangeAspect="1"/>
        </xdr:cNvPicPr>
      </xdr:nvPicPr>
      <xdr:blipFill>
        <a:blip xmlns:r="http://schemas.openxmlformats.org/officeDocument/2006/relationships" r:embed="rId4"/>
        <a:stretch>
          <a:fillRect/>
        </a:stretch>
      </xdr:blipFill>
      <xdr:spPr>
        <a:xfrm>
          <a:off x="19151600" y="38100"/>
          <a:ext cx="6553200" cy="35941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7</xdr:col>
      <xdr:colOff>3632200</xdr:colOff>
      <xdr:row>0</xdr:row>
      <xdr:rowOff>25400</xdr:rowOff>
    </xdr:from>
    <xdr:to>
      <xdr:col>7</xdr:col>
      <xdr:colOff>6920783</xdr:colOff>
      <xdr:row>15</xdr:row>
      <xdr:rowOff>56328</xdr:rowOff>
    </xdr:to>
    <xdr:pic>
      <xdr:nvPicPr>
        <xdr:cNvPr id="5" name="Picture 4"/>
        <xdr:cNvPicPr>
          <a:picLocks noChangeAspect="1"/>
        </xdr:cNvPicPr>
      </xdr:nvPicPr>
      <xdr:blipFill>
        <a:blip xmlns:r="http://schemas.openxmlformats.org/officeDocument/2006/relationships" r:embed="rId1"/>
        <a:stretch>
          <a:fillRect/>
        </a:stretch>
      </xdr:blipFill>
      <xdr:spPr>
        <a:xfrm>
          <a:off x="13195300" y="25400"/>
          <a:ext cx="3288583" cy="3078928"/>
        </a:xfrm>
        <a:prstGeom prst="rect">
          <a:avLst/>
        </a:prstGeom>
      </xdr:spPr>
    </xdr:pic>
    <xdr:clientData/>
  </xdr:twoCellAnchor>
  <xdr:twoCellAnchor editAs="oneCell">
    <xdr:from>
      <xdr:col>0</xdr:col>
      <xdr:colOff>0</xdr:colOff>
      <xdr:row>0</xdr:row>
      <xdr:rowOff>38100</xdr:rowOff>
    </xdr:from>
    <xdr:to>
      <xdr:col>7</xdr:col>
      <xdr:colOff>3644900</xdr:colOff>
      <xdr:row>6</xdr:row>
      <xdr:rowOff>0</xdr:rowOff>
    </xdr:to>
    <xdr:pic>
      <xdr:nvPicPr>
        <xdr:cNvPr id="6" name="Picture 5"/>
        <xdr:cNvPicPr>
          <a:picLocks noChangeAspect="1"/>
        </xdr:cNvPicPr>
      </xdr:nvPicPr>
      <xdr:blipFill>
        <a:blip xmlns:r="http://schemas.openxmlformats.org/officeDocument/2006/relationships" r:embed="rId2"/>
        <a:stretch>
          <a:fillRect/>
        </a:stretch>
      </xdr:blipFill>
      <xdr:spPr>
        <a:xfrm>
          <a:off x="0" y="38100"/>
          <a:ext cx="13208000" cy="1181100"/>
        </a:xfrm>
        <a:prstGeom prst="rect">
          <a:avLst/>
        </a:prstGeom>
      </xdr:spPr>
    </xdr:pic>
    <xdr:clientData/>
  </xdr:twoCellAnchor>
  <xdr:twoCellAnchor editAs="oneCell">
    <xdr:from>
      <xdr:col>0</xdr:col>
      <xdr:colOff>0</xdr:colOff>
      <xdr:row>6</xdr:row>
      <xdr:rowOff>25400</xdr:rowOff>
    </xdr:from>
    <xdr:to>
      <xdr:col>1</xdr:col>
      <xdr:colOff>1296881</xdr:colOff>
      <xdr:row>18</xdr:row>
      <xdr:rowOff>0</xdr:rowOff>
    </xdr:to>
    <xdr:pic>
      <xdr:nvPicPr>
        <xdr:cNvPr id="7" name="Picture 6"/>
        <xdr:cNvPicPr>
          <a:picLocks noChangeAspect="1"/>
        </xdr:cNvPicPr>
      </xdr:nvPicPr>
      <xdr:blipFill>
        <a:blip xmlns:r="http://schemas.openxmlformats.org/officeDocument/2006/relationships" r:embed="rId3"/>
        <a:stretch>
          <a:fillRect/>
        </a:stretch>
      </xdr:blipFill>
      <xdr:spPr>
        <a:xfrm>
          <a:off x="0" y="1244600"/>
          <a:ext cx="4433781" cy="2413000"/>
        </a:xfrm>
        <a:prstGeom prst="rect">
          <a:avLst/>
        </a:prstGeom>
      </xdr:spPr>
    </xdr:pic>
    <xdr:clientData/>
  </xdr:twoCellAnchor>
  <xdr:twoCellAnchor editAs="oneCell">
    <xdr:from>
      <xdr:col>1</xdr:col>
      <xdr:colOff>1282700</xdr:colOff>
      <xdr:row>6</xdr:row>
      <xdr:rowOff>38100</xdr:rowOff>
    </xdr:from>
    <xdr:to>
      <xdr:col>6</xdr:col>
      <xdr:colOff>76200</xdr:colOff>
      <xdr:row>17</xdr:row>
      <xdr:rowOff>191237</xdr:rowOff>
    </xdr:to>
    <xdr:pic>
      <xdr:nvPicPr>
        <xdr:cNvPr id="8" name="Picture 7"/>
        <xdr:cNvPicPr>
          <a:picLocks noChangeAspect="1"/>
        </xdr:cNvPicPr>
      </xdr:nvPicPr>
      <xdr:blipFill>
        <a:blip xmlns:r="http://schemas.openxmlformats.org/officeDocument/2006/relationships" r:embed="rId4"/>
        <a:stretch>
          <a:fillRect/>
        </a:stretch>
      </xdr:blipFill>
      <xdr:spPr>
        <a:xfrm>
          <a:off x="4419600" y="1257300"/>
          <a:ext cx="4394200" cy="2388337"/>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tabSelected="1" workbookViewId="0">
      <selection activeCell="J33" sqref="J33"/>
    </sheetView>
  </sheetViews>
  <sheetFormatPr baseColWidth="10" defaultRowHeight="16" x14ac:dyDescent="0.2"/>
  <cols>
    <col min="1" max="1" width="28.5" customWidth="1"/>
    <col min="6" max="6" width="36.6640625" customWidth="1"/>
    <col min="8" max="8" width="114.83203125" customWidth="1"/>
    <col min="9" max="9" width="48.5" customWidth="1"/>
    <col min="10" max="10" width="134.5" customWidth="1"/>
  </cols>
  <sheetData>
    <row r="1" s="4" customFormat="1" x14ac:dyDescent="0.2"/>
    <row r="2" s="4" customFormat="1" x14ac:dyDescent="0.2"/>
    <row r="3" s="4" customFormat="1" x14ac:dyDescent="0.2"/>
    <row r="4" s="4" customFormat="1" x14ac:dyDescent="0.2"/>
    <row r="5" s="4" customFormat="1" x14ac:dyDescent="0.2"/>
    <row r="6" s="4" customFormat="1" x14ac:dyDescent="0.2"/>
    <row r="7" s="4" customFormat="1" x14ac:dyDescent="0.2"/>
    <row r="8" s="4" customFormat="1" x14ac:dyDescent="0.2"/>
    <row r="9" s="4" customFormat="1" x14ac:dyDescent="0.2"/>
    <row r="10" s="4" customFormat="1" x14ac:dyDescent="0.2"/>
    <row r="11" s="4" customFormat="1" x14ac:dyDescent="0.2"/>
    <row r="12" s="4" customFormat="1" x14ac:dyDescent="0.2"/>
    <row r="13" s="4" customFormat="1" x14ac:dyDescent="0.2"/>
    <row r="14" s="4" customFormat="1" x14ac:dyDescent="0.2"/>
    <row r="15" s="4" customFormat="1" x14ac:dyDescent="0.2"/>
    <row r="16" s="4" customFormat="1" x14ac:dyDescent="0.2"/>
    <row r="17" spans="1:11" s="4" customFormat="1" x14ac:dyDescent="0.2"/>
    <row r="18" spans="1:11" s="4" customFormat="1" x14ac:dyDescent="0.2"/>
    <row r="19" spans="1:11" s="2" customFormat="1" x14ac:dyDescent="0.2">
      <c r="A19" s="2" t="s">
        <v>0</v>
      </c>
      <c r="B19" s="2" t="s">
        <v>1</v>
      </c>
      <c r="C19" s="2" t="s">
        <v>2</v>
      </c>
      <c r="D19" s="2" t="s">
        <v>3</v>
      </c>
      <c r="E19" s="2" t="s">
        <v>4</v>
      </c>
      <c r="F19" s="2" t="s">
        <v>5</v>
      </c>
      <c r="G19" s="2" t="s">
        <v>6</v>
      </c>
      <c r="H19" s="2" t="s">
        <v>7</v>
      </c>
      <c r="I19" s="2" t="s">
        <v>8</v>
      </c>
      <c r="J19" s="2" t="s">
        <v>9</v>
      </c>
      <c r="K19" s="2" t="s">
        <v>10</v>
      </c>
    </row>
    <row r="20" spans="1:11" x14ac:dyDescent="0.2">
      <c r="A20" t="s">
        <v>3414</v>
      </c>
      <c r="B20" t="s">
        <v>3415</v>
      </c>
      <c r="C20" t="s">
        <v>3416</v>
      </c>
      <c r="D20" t="str">
        <f>"00530"</f>
        <v>00530</v>
      </c>
      <c r="E20" t="s">
        <v>3417</v>
      </c>
      <c r="F20" t="s">
        <v>3418</v>
      </c>
      <c r="G20" t="str">
        <f>"08.10.2019"</f>
        <v>08.10.2019</v>
      </c>
      <c r="H20" t="s">
        <v>3419</v>
      </c>
      <c r="I20" t="s">
        <v>3420</v>
      </c>
      <c r="J20" t="s">
        <v>3421</v>
      </c>
      <c r="K20" t="s">
        <v>3422</v>
      </c>
    </row>
    <row r="21" spans="1:11" x14ac:dyDescent="0.2">
      <c r="A21" t="s">
        <v>3423</v>
      </c>
      <c r="B21" t="s">
        <v>3424</v>
      </c>
      <c r="C21" t="s">
        <v>3425</v>
      </c>
      <c r="D21" t="str">
        <f>"02611"</f>
        <v>02611</v>
      </c>
      <c r="E21" t="s">
        <v>3413</v>
      </c>
      <c r="F21" t="s">
        <v>3426</v>
      </c>
      <c r="G21" t="str">
        <f>"22.04.2013"</f>
        <v>22.04.2013</v>
      </c>
      <c r="H21" t="s">
        <v>3427</v>
      </c>
      <c r="I21" t="s">
        <v>3428</v>
      </c>
      <c r="J21" t="s">
        <v>3429</v>
      </c>
      <c r="K21" t="s">
        <v>19</v>
      </c>
    </row>
    <row r="22" spans="1:11" x14ac:dyDescent="0.2">
      <c r="A22" t="s">
        <v>3430</v>
      </c>
      <c r="B22" t="s">
        <v>3431</v>
      </c>
      <c r="C22" t="s">
        <v>3432</v>
      </c>
      <c r="D22" t="str">
        <f>"28100"</f>
        <v>28100</v>
      </c>
      <c r="E22" t="s">
        <v>3433</v>
      </c>
      <c r="F22" t="s">
        <v>3434</v>
      </c>
      <c r="G22" t="str">
        <f>"03.03.2016"</f>
        <v>03.03.2016</v>
      </c>
      <c r="H22" t="s">
        <v>3435</v>
      </c>
      <c r="I22" t="s">
        <v>3436</v>
      </c>
      <c r="J22" t="s">
        <v>3437</v>
      </c>
      <c r="K22" t="s">
        <v>19</v>
      </c>
    </row>
    <row r="23" spans="1:11" x14ac:dyDescent="0.2">
      <c r="A23" t="s">
        <v>3438</v>
      </c>
      <c r="B23" t="s">
        <v>3439</v>
      </c>
      <c r="C23" t="s">
        <v>3440</v>
      </c>
      <c r="D23" t="str">
        <f>"00100"</f>
        <v>00100</v>
      </c>
      <c r="E23" t="s">
        <v>3417</v>
      </c>
      <c r="F23" t="s">
        <v>3441</v>
      </c>
      <c r="G23" t="str">
        <f>"30.06.2014"</f>
        <v>30.06.2014</v>
      </c>
      <c r="H23" t="s">
        <v>3442</v>
      </c>
      <c r="I23" t="s">
        <v>3443</v>
      </c>
      <c r="J23" t="s">
        <v>3444</v>
      </c>
      <c r="K23" t="s">
        <v>3445</v>
      </c>
    </row>
    <row r="24" spans="1:11" x14ac:dyDescent="0.2">
      <c r="A24" t="s">
        <v>3446</v>
      </c>
      <c r="B24" t="s">
        <v>3447</v>
      </c>
      <c r="C24" t="s">
        <v>3448</v>
      </c>
      <c r="D24" t="str">
        <f>"00100"</f>
        <v>00100</v>
      </c>
      <c r="E24" t="s">
        <v>3417</v>
      </c>
      <c r="F24" t="s">
        <v>3449</v>
      </c>
      <c r="G24" t="str">
        <f>"23.12.2014"</f>
        <v>23.12.2014</v>
      </c>
      <c r="H24" t="s">
        <v>3450</v>
      </c>
      <c r="I24" t="s">
        <v>3451</v>
      </c>
      <c r="J24" t="s">
        <v>3452</v>
      </c>
      <c r="K24" t="s">
        <v>19</v>
      </c>
    </row>
    <row r="25" spans="1:11" x14ac:dyDescent="0.2">
      <c r="A25" t="s">
        <v>3453</v>
      </c>
      <c r="B25" t="s">
        <v>3454</v>
      </c>
      <c r="C25" t="s">
        <v>3455</v>
      </c>
      <c r="D25" t="str">
        <f>"02150"</f>
        <v>02150</v>
      </c>
      <c r="E25" t="s">
        <v>3413</v>
      </c>
      <c r="F25" t="s">
        <v>3456</v>
      </c>
      <c r="G25" t="str">
        <f>"28.06.2018"</f>
        <v>28.06.2018</v>
      </c>
      <c r="H25" t="s">
        <v>3457</v>
      </c>
      <c r="I25" t="s">
        <v>3458</v>
      </c>
      <c r="J25" t="s">
        <v>3459</v>
      </c>
      <c r="K25" t="s">
        <v>3460</v>
      </c>
    </row>
    <row r="26" spans="1:11" x14ac:dyDescent="0.2">
      <c r="A26" t="s">
        <v>3461</v>
      </c>
      <c r="B26" t="s">
        <v>3462</v>
      </c>
      <c r="C26" t="s">
        <v>3463</v>
      </c>
      <c r="D26" t="str">
        <f>"40100"</f>
        <v>40100</v>
      </c>
      <c r="E26" t="s">
        <v>3464</v>
      </c>
      <c r="F26" t="s">
        <v>3465</v>
      </c>
      <c r="G26" t="str">
        <f>"15.10.2018"</f>
        <v>15.10.2018</v>
      </c>
      <c r="H26" t="s">
        <v>3466</v>
      </c>
      <c r="I26" t="s">
        <v>3467</v>
      </c>
      <c r="J26" t="s">
        <v>3468</v>
      </c>
      <c r="K26" t="s">
        <v>3469</v>
      </c>
    </row>
    <row r="27" spans="1:11" x14ac:dyDescent="0.2">
      <c r="A27" t="s">
        <v>3470</v>
      </c>
      <c r="B27" t="s">
        <v>3471</v>
      </c>
      <c r="C27" t="s">
        <v>3472</v>
      </c>
      <c r="D27" t="str">
        <f>"02630"</f>
        <v>02630</v>
      </c>
      <c r="E27" t="s">
        <v>3413</v>
      </c>
      <c r="F27" t="s">
        <v>3473</v>
      </c>
      <c r="G27" t="str">
        <f>"25.05.2010"</f>
        <v>25.05.2010</v>
      </c>
      <c r="H27" t="s">
        <v>3474</v>
      </c>
      <c r="I27" t="s">
        <v>3475</v>
      </c>
      <c r="J27" t="s">
        <v>3476</v>
      </c>
      <c r="K27" t="s">
        <v>3460</v>
      </c>
    </row>
    <row r="28" spans="1:11" x14ac:dyDescent="0.2">
      <c r="A28" t="s">
        <v>3477</v>
      </c>
      <c r="B28" t="s">
        <v>3478</v>
      </c>
      <c r="C28" t="s">
        <v>3479</v>
      </c>
      <c r="D28" t="str">
        <f>"00100"</f>
        <v>00100</v>
      </c>
      <c r="E28" t="s">
        <v>3417</v>
      </c>
      <c r="F28" t="s">
        <v>3480</v>
      </c>
      <c r="G28" t="str">
        <f>"01.12.2015"</f>
        <v>01.12.2015</v>
      </c>
      <c r="H28" t="s">
        <v>3481</v>
      </c>
      <c r="I28" t="s">
        <v>3482</v>
      </c>
      <c r="J28" t="s">
        <v>3483</v>
      </c>
      <c r="K28" t="s">
        <v>618</v>
      </c>
    </row>
    <row r="29" spans="1:11" x14ac:dyDescent="0.2">
      <c r="A29" t="s">
        <v>3484</v>
      </c>
      <c r="B29" t="s">
        <v>3485</v>
      </c>
      <c r="C29" t="s">
        <v>3486</v>
      </c>
      <c r="D29" t="str">
        <f>"00560"</f>
        <v>00560</v>
      </c>
      <c r="E29" t="s">
        <v>3417</v>
      </c>
      <c r="F29" t="s">
        <v>3487</v>
      </c>
      <c r="G29" t="str">
        <f>"29.10.2012"</f>
        <v>29.10.2012</v>
      </c>
      <c r="H29" t="s">
        <v>3488</v>
      </c>
      <c r="I29" t="s">
        <v>3489</v>
      </c>
      <c r="J29" t="s">
        <v>3490</v>
      </c>
      <c r="K29" t="s">
        <v>19</v>
      </c>
    </row>
    <row r="30" spans="1:11" x14ac:dyDescent="0.2">
      <c r="A30" t="s">
        <v>3491</v>
      </c>
      <c r="B30" t="s">
        <v>3492</v>
      </c>
      <c r="C30" t="s">
        <v>3493</v>
      </c>
      <c r="D30" t="str">
        <f>"00100"</f>
        <v>00100</v>
      </c>
      <c r="E30" t="s">
        <v>3417</v>
      </c>
      <c r="F30" t="s">
        <v>3494</v>
      </c>
      <c r="G30" t="str">
        <f>"03.10.2001"</f>
        <v>03.10.2001</v>
      </c>
      <c r="H30" t="s">
        <v>3495</v>
      </c>
      <c r="I30" t="s">
        <v>3496</v>
      </c>
      <c r="J30" t="s">
        <v>3497</v>
      </c>
      <c r="K30" t="s">
        <v>3498</v>
      </c>
    </row>
    <row r="31" spans="1:11" x14ac:dyDescent="0.2">
      <c r="A31" t="s">
        <v>3499</v>
      </c>
      <c r="B31" t="s">
        <v>3500</v>
      </c>
      <c r="C31" t="s">
        <v>3501</v>
      </c>
      <c r="D31" t="str">
        <f>"02150"</f>
        <v>02150</v>
      </c>
      <c r="E31" t="s">
        <v>3413</v>
      </c>
      <c r="F31" t="s">
        <v>3502</v>
      </c>
      <c r="G31" t="str">
        <f>"05.08.2020"</f>
        <v>05.08.2020</v>
      </c>
      <c r="H31" t="s">
        <v>3503</v>
      </c>
      <c r="I31" t="s">
        <v>3504</v>
      </c>
      <c r="J31" t="s">
        <v>3505</v>
      </c>
      <c r="K31" t="s">
        <v>3506</v>
      </c>
    </row>
    <row r="32" spans="1:11" x14ac:dyDescent="0.2">
      <c r="A32" t="s">
        <v>3507</v>
      </c>
      <c r="B32" t="s">
        <v>3508</v>
      </c>
      <c r="C32" t="s">
        <v>3509</v>
      </c>
      <c r="D32" t="str">
        <f>"65200"</f>
        <v>65200</v>
      </c>
      <c r="E32" t="s">
        <v>3510</v>
      </c>
      <c r="F32" t="s">
        <v>3511</v>
      </c>
      <c r="G32" t="str">
        <f>"22.06.2020"</f>
        <v>22.06.2020</v>
      </c>
      <c r="H32" t="s">
        <v>3512</v>
      </c>
      <c r="I32" t="s">
        <v>3513</v>
      </c>
      <c r="J32" t="s">
        <v>3514</v>
      </c>
      <c r="K32" t="s">
        <v>3460</v>
      </c>
    </row>
    <row r="33" spans="1:11" x14ac:dyDescent="0.2">
      <c r="A33" t="s">
        <v>3515</v>
      </c>
      <c r="B33" t="s">
        <v>3516</v>
      </c>
      <c r="C33" t="s">
        <v>3517</v>
      </c>
      <c r="D33" t="str">
        <f>"00180"</f>
        <v>00180</v>
      </c>
      <c r="E33" t="s">
        <v>3417</v>
      </c>
      <c r="F33" t="s">
        <v>3518</v>
      </c>
      <c r="G33" t="str">
        <f>"11.04.1997"</f>
        <v>11.04.1997</v>
      </c>
      <c r="H33" t="s">
        <v>3519</v>
      </c>
      <c r="I33" t="s">
        <v>3520</v>
      </c>
      <c r="J33" t="s">
        <v>3521</v>
      </c>
      <c r="K33" t="s">
        <v>19</v>
      </c>
    </row>
    <row r="34" spans="1:11" x14ac:dyDescent="0.2">
      <c r="A34" t="s">
        <v>3522</v>
      </c>
      <c r="B34" t="s">
        <v>3523</v>
      </c>
      <c r="C34" t="s">
        <v>3524</v>
      </c>
      <c r="D34" t="str">
        <f>"00180"</f>
        <v>00180</v>
      </c>
      <c r="E34" t="s">
        <v>3417</v>
      </c>
      <c r="F34" t="s">
        <v>3525</v>
      </c>
      <c r="G34" t="str">
        <f>"03.12.2018"</f>
        <v>03.12.2018</v>
      </c>
      <c r="H34" t="s">
        <v>3526</v>
      </c>
      <c r="I34" t="s">
        <v>3527</v>
      </c>
      <c r="J34" t="s">
        <v>3528</v>
      </c>
      <c r="K34" t="s">
        <v>3460</v>
      </c>
    </row>
    <row r="35" spans="1:11" x14ac:dyDescent="0.2">
      <c r="A35" t="s">
        <v>3529</v>
      </c>
      <c r="B35" t="s">
        <v>3530</v>
      </c>
      <c r="C35" t="s">
        <v>3531</v>
      </c>
      <c r="D35" t="str">
        <f>"00180"</f>
        <v>00180</v>
      </c>
      <c r="E35" t="s">
        <v>3417</v>
      </c>
      <c r="F35" t="s">
        <v>3532</v>
      </c>
      <c r="G35" t="str">
        <f>"12.12.2001"</f>
        <v>12.12.2001</v>
      </c>
      <c r="H35" t="s">
        <v>3533</v>
      </c>
      <c r="I35" t="s">
        <v>3534</v>
      </c>
      <c r="J35" t="s">
        <v>3535</v>
      </c>
      <c r="K35" t="s">
        <v>3460</v>
      </c>
    </row>
    <row r="36" spans="1:11" x14ac:dyDescent="0.2">
      <c r="A36" t="s">
        <v>3536</v>
      </c>
      <c r="B36" t="s">
        <v>3537</v>
      </c>
      <c r="C36" t="s">
        <v>3538</v>
      </c>
      <c r="D36" t="str">
        <f>"02601"</f>
        <v>02601</v>
      </c>
      <c r="E36" t="s">
        <v>3413</v>
      </c>
      <c r="F36" t="s">
        <v>3539</v>
      </c>
      <c r="G36" t="str">
        <f>"04.06.1985"</f>
        <v>04.06.1985</v>
      </c>
      <c r="H36" t="s">
        <v>3540</v>
      </c>
      <c r="I36" t="s">
        <v>3541</v>
      </c>
      <c r="J36" t="s">
        <v>3542</v>
      </c>
      <c r="K36" t="s">
        <v>1767</v>
      </c>
    </row>
    <row r="37" spans="1:11" x14ac:dyDescent="0.2">
      <c r="A37" t="s">
        <v>3543</v>
      </c>
      <c r="B37" t="s">
        <v>3544</v>
      </c>
      <c r="C37" t="s">
        <v>3545</v>
      </c>
      <c r="D37" t="str">
        <f>"33720"</f>
        <v>33720</v>
      </c>
      <c r="E37" t="s">
        <v>3546</v>
      </c>
      <c r="F37" t="s">
        <v>3547</v>
      </c>
      <c r="G37" t="str">
        <f>"16.01.2020"</f>
        <v>16.01.2020</v>
      </c>
      <c r="H37" t="s">
        <v>3548</v>
      </c>
      <c r="I37" t="s">
        <v>3549</v>
      </c>
      <c r="J37" t="s">
        <v>3550</v>
      </c>
      <c r="K37" t="s">
        <v>3460</v>
      </c>
    </row>
    <row r="38" spans="1:11" x14ac:dyDescent="0.2">
      <c r="A38" t="s">
        <v>3551</v>
      </c>
      <c r="B38" t="s">
        <v>3552</v>
      </c>
      <c r="C38" t="s">
        <v>3553</v>
      </c>
      <c r="D38" t="str">
        <f>"00100"</f>
        <v>00100</v>
      </c>
      <c r="E38" t="s">
        <v>3417</v>
      </c>
      <c r="F38" t="s">
        <v>3554</v>
      </c>
      <c r="G38" t="str">
        <f>"28.08.2009"</f>
        <v>28.08.2009</v>
      </c>
      <c r="H38" t="s">
        <v>3555</v>
      </c>
      <c r="I38" t="s">
        <v>3556</v>
      </c>
      <c r="J38" t="s">
        <v>3557</v>
      </c>
      <c r="K38" t="s">
        <v>19</v>
      </c>
    </row>
    <row r="39" spans="1:11" x14ac:dyDescent="0.2">
      <c r="A39" t="s">
        <v>3558</v>
      </c>
      <c r="B39" t="s">
        <v>3559</v>
      </c>
      <c r="C39" t="s">
        <v>3560</v>
      </c>
      <c r="D39" t="str">
        <f>"00330"</f>
        <v>00330</v>
      </c>
      <c r="E39" t="s">
        <v>3417</v>
      </c>
      <c r="F39" t="s">
        <v>3561</v>
      </c>
      <c r="G39" t="str">
        <f>"18.06.2014"</f>
        <v>18.06.2014</v>
      </c>
      <c r="H39" t="s">
        <v>3562</v>
      </c>
      <c r="I39" t="s">
        <v>3563</v>
      </c>
      <c r="J39" t="s">
        <v>3564</v>
      </c>
      <c r="K39" t="s">
        <v>3422</v>
      </c>
    </row>
    <row r="40" spans="1:11" x14ac:dyDescent="0.2">
      <c r="A40" t="s">
        <v>3565</v>
      </c>
      <c r="B40" t="s">
        <v>3566</v>
      </c>
      <c r="C40" t="s">
        <v>3524</v>
      </c>
      <c r="D40" t="str">
        <f>"00180"</f>
        <v>00180</v>
      </c>
      <c r="E40" t="s">
        <v>3417</v>
      </c>
      <c r="F40" t="s">
        <v>3567</v>
      </c>
      <c r="G40" t="str">
        <f>"27.05.2016"</f>
        <v>27.05.2016</v>
      </c>
      <c r="H40" t="s">
        <v>3568</v>
      </c>
      <c r="I40" t="s">
        <v>3569</v>
      </c>
      <c r="J40" t="s">
        <v>3570</v>
      </c>
      <c r="K40" t="s">
        <v>19</v>
      </c>
    </row>
    <row r="41" spans="1:11" x14ac:dyDescent="0.2">
      <c r="A41" t="s">
        <v>3571</v>
      </c>
      <c r="B41" t="s">
        <v>3572</v>
      </c>
      <c r="C41" t="s">
        <v>3573</v>
      </c>
      <c r="D41" t="str">
        <f>"00770"</f>
        <v>00770</v>
      </c>
      <c r="E41" t="s">
        <v>3417</v>
      </c>
      <c r="F41" t="s">
        <v>3574</v>
      </c>
      <c r="G41" t="str">
        <f>"12.11.2018"</f>
        <v>12.11.2018</v>
      </c>
      <c r="H41" t="s">
        <v>3575</v>
      </c>
      <c r="I41" t="s">
        <v>3576</v>
      </c>
      <c r="J41" t="s">
        <v>3577</v>
      </c>
    </row>
    <row r="42" spans="1:11" x14ac:dyDescent="0.2">
      <c r="A42" t="s">
        <v>3578</v>
      </c>
      <c r="B42" t="s">
        <v>3579</v>
      </c>
      <c r="C42" t="s">
        <v>3580</v>
      </c>
      <c r="D42" t="str">
        <f>"33210"</f>
        <v>33210</v>
      </c>
      <c r="E42" t="s">
        <v>3546</v>
      </c>
      <c r="F42" t="s">
        <v>3581</v>
      </c>
      <c r="G42" t="str">
        <f>"16.03.2015"</f>
        <v>16.03.2015</v>
      </c>
      <c r="H42" t="s">
        <v>3582</v>
      </c>
      <c r="I42" t="s">
        <v>3583</v>
      </c>
      <c r="J42" t="s">
        <v>3584</v>
      </c>
      <c r="K42" t="s">
        <v>3460</v>
      </c>
    </row>
    <row r="43" spans="1:11" x14ac:dyDescent="0.2">
      <c r="A43" t="s">
        <v>3585</v>
      </c>
      <c r="B43" t="s">
        <v>3586</v>
      </c>
      <c r="C43" t="s">
        <v>3587</v>
      </c>
      <c r="D43" t="str">
        <f>"33100"</f>
        <v>33100</v>
      </c>
      <c r="E43" t="s">
        <v>3546</v>
      </c>
      <c r="F43" t="s">
        <v>3588</v>
      </c>
      <c r="G43" t="str">
        <f>"17.07.2013"</f>
        <v>17.07.2013</v>
      </c>
      <c r="H43" t="s">
        <v>3589</v>
      </c>
      <c r="I43" t="s">
        <v>3590</v>
      </c>
      <c r="J43" t="s">
        <v>3591</v>
      </c>
      <c r="K43" t="s">
        <v>3460</v>
      </c>
    </row>
    <row r="44" spans="1:11" x14ac:dyDescent="0.2">
      <c r="A44" t="s">
        <v>3592</v>
      </c>
      <c r="B44" t="s">
        <v>3593</v>
      </c>
      <c r="C44" t="s">
        <v>3594</v>
      </c>
      <c r="D44" t="str">
        <f>"00150"</f>
        <v>00150</v>
      </c>
      <c r="E44" t="s">
        <v>3417</v>
      </c>
      <c r="F44" t="s">
        <v>3595</v>
      </c>
      <c r="G44" t="str">
        <f>"02.05.2016"</f>
        <v>02.05.2016</v>
      </c>
      <c r="H44" t="s">
        <v>3596</v>
      </c>
      <c r="I44" t="s">
        <v>3597</v>
      </c>
      <c r="J44" t="s">
        <v>3598</v>
      </c>
      <c r="K44" t="s">
        <v>3599</v>
      </c>
    </row>
    <row r="45" spans="1:11" x14ac:dyDescent="0.2">
      <c r="A45" t="s">
        <v>3600</v>
      </c>
      <c r="B45" t="s">
        <v>3601</v>
      </c>
      <c r="C45" t="s">
        <v>3602</v>
      </c>
      <c r="D45" t="str">
        <f>"41800"</f>
        <v>41800</v>
      </c>
      <c r="E45" t="s">
        <v>3603</v>
      </c>
      <c r="F45" t="s">
        <v>3604</v>
      </c>
      <c r="G45" t="str">
        <f>"04.07.2014"</f>
        <v>04.07.2014</v>
      </c>
      <c r="H45" t="s">
        <v>3605</v>
      </c>
      <c r="I45" t="s">
        <v>3606</v>
      </c>
      <c r="J45" t="s">
        <v>3607</v>
      </c>
      <c r="K45" t="s">
        <v>3460</v>
      </c>
    </row>
    <row r="46" spans="1:11" x14ac:dyDescent="0.2">
      <c r="A46" t="s">
        <v>3608</v>
      </c>
      <c r="B46" t="s">
        <v>3609</v>
      </c>
      <c r="C46" t="s">
        <v>3610</v>
      </c>
      <c r="D46" t="str">
        <f>"45360"</f>
        <v>45360</v>
      </c>
      <c r="E46" t="s">
        <v>3611</v>
      </c>
      <c r="F46" t="s">
        <v>3612</v>
      </c>
      <c r="G46" t="str">
        <f>"10.01.2020"</f>
        <v>10.01.2020</v>
      </c>
      <c r="H46" t="s">
        <v>3613</v>
      </c>
      <c r="I46" t="s">
        <v>3614</v>
      </c>
      <c r="J46" t="s">
        <v>3615</v>
      </c>
      <c r="K46" t="s">
        <v>3460</v>
      </c>
    </row>
    <row r="47" spans="1:11" x14ac:dyDescent="0.2">
      <c r="A47" t="s">
        <v>3616</v>
      </c>
      <c r="B47" t="s">
        <v>3617</v>
      </c>
      <c r="C47" t="s">
        <v>3524</v>
      </c>
      <c r="D47" t="str">
        <f>"00180"</f>
        <v>00180</v>
      </c>
      <c r="E47" t="s">
        <v>3417</v>
      </c>
      <c r="F47" t="s">
        <v>3618</v>
      </c>
      <c r="G47" t="str">
        <f>"18.07.2019"</f>
        <v>18.07.2019</v>
      </c>
      <c r="H47" t="s">
        <v>3619</v>
      </c>
      <c r="I47" t="s">
        <v>3620</v>
      </c>
      <c r="J47" t="s">
        <v>3621</v>
      </c>
      <c r="K47" t="s">
        <v>1767</v>
      </c>
    </row>
    <row r="48" spans="1:11" x14ac:dyDescent="0.2">
      <c r="A48" t="s">
        <v>3622</v>
      </c>
      <c r="B48" t="s">
        <v>3623</v>
      </c>
      <c r="C48" t="s">
        <v>3624</v>
      </c>
      <c r="D48" t="str">
        <f>"00510"</f>
        <v>00510</v>
      </c>
      <c r="E48" t="s">
        <v>3417</v>
      </c>
      <c r="F48" t="s">
        <v>3625</v>
      </c>
      <c r="G48" t="str">
        <f>"25.07.2016"</f>
        <v>25.07.2016</v>
      </c>
      <c r="H48" t="s">
        <v>3626</v>
      </c>
      <c r="I48" t="s">
        <v>3627</v>
      </c>
      <c r="J48" t="s">
        <v>3628</v>
      </c>
      <c r="K48" t="s">
        <v>19</v>
      </c>
    </row>
    <row r="49" spans="1:11" x14ac:dyDescent="0.2">
      <c r="A49" t="s">
        <v>3629</v>
      </c>
      <c r="B49" t="s">
        <v>3630</v>
      </c>
      <c r="C49" t="s">
        <v>3631</v>
      </c>
      <c r="D49" t="str">
        <f>"00580"</f>
        <v>00580</v>
      </c>
      <c r="E49" t="s">
        <v>3417</v>
      </c>
      <c r="F49" t="s">
        <v>3632</v>
      </c>
      <c r="G49" t="str">
        <f>"29.05.2020"</f>
        <v>29.05.2020</v>
      </c>
      <c r="H49" t="s">
        <v>3633</v>
      </c>
      <c r="I49" t="s">
        <v>3634</v>
      </c>
      <c r="J49" t="s">
        <v>3635</v>
      </c>
      <c r="K49" t="s">
        <v>3506</v>
      </c>
    </row>
    <row r="50" spans="1:11" x14ac:dyDescent="0.2">
      <c r="A50" t="s">
        <v>3636</v>
      </c>
      <c r="B50" t="s">
        <v>3637</v>
      </c>
      <c r="C50" t="s">
        <v>3638</v>
      </c>
      <c r="D50" t="str">
        <f>"20520"</f>
        <v>20520</v>
      </c>
      <c r="E50" t="s">
        <v>3639</v>
      </c>
      <c r="F50" t="s">
        <v>3640</v>
      </c>
      <c r="G50" t="str">
        <f>"13.01.2017"</f>
        <v>13.01.2017</v>
      </c>
      <c r="H50" t="s">
        <v>3641</v>
      </c>
      <c r="I50" t="s">
        <v>3642</v>
      </c>
      <c r="J50" t="s">
        <v>3643</v>
      </c>
      <c r="K50" t="s">
        <v>3644</v>
      </c>
    </row>
    <row r="51" spans="1:11" x14ac:dyDescent="0.2">
      <c r="A51" t="s">
        <v>3645</v>
      </c>
      <c r="B51" t="s">
        <v>3646</v>
      </c>
      <c r="C51" t="s">
        <v>3647</v>
      </c>
      <c r="D51" t="str">
        <f>"02600"</f>
        <v>02600</v>
      </c>
      <c r="E51" t="s">
        <v>3413</v>
      </c>
      <c r="F51" t="s">
        <v>3648</v>
      </c>
      <c r="G51" t="str">
        <f>"16.10.2013"</f>
        <v>16.10.2013</v>
      </c>
      <c r="H51" t="s">
        <v>3649</v>
      </c>
      <c r="I51" t="s">
        <v>3650</v>
      </c>
      <c r="J51" t="s">
        <v>3651</v>
      </c>
      <c r="K51" t="s">
        <v>3652</v>
      </c>
    </row>
    <row r="52" spans="1:11" x14ac:dyDescent="0.2">
      <c r="A52" t="s">
        <v>3653</v>
      </c>
      <c r="B52" t="s">
        <v>3654</v>
      </c>
      <c r="C52" t="s">
        <v>3655</v>
      </c>
      <c r="D52" t="str">
        <f>"00750"</f>
        <v>00750</v>
      </c>
      <c r="E52" t="s">
        <v>3417</v>
      </c>
      <c r="F52" t="s">
        <v>3656</v>
      </c>
      <c r="G52" t="str">
        <f>"23.08.2013"</f>
        <v>23.08.2013</v>
      </c>
      <c r="H52" t="s">
        <v>3657</v>
      </c>
      <c r="I52" t="s">
        <v>3658</v>
      </c>
      <c r="J52" t="s">
        <v>3659</v>
      </c>
      <c r="K52" t="s">
        <v>3660</v>
      </c>
    </row>
    <row r="53" spans="1:11" x14ac:dyDescent="0.2">
      <c r="A53" t="s">
        <v>3661</v>
      </c>
      <c r="B53" t="s">
        <v>3662</v>
      </c>
      <c r="C53" t="s">
        <v>3663</v>
      </c>
      <c r="D53" t="str">
        <f>"33210"</f>
        <v>33210</v>
      </c>
      <c r="E53" t="s">
        <v>3546</v>
      </c>
      <c r="F53" t="s">
        <v>3664</v>
      </c>
      <c r="G53" t="str">
        <f>"16.05.2011"</f>
        <v>16.05.2011</v>
      </c>
      <c r="H53" t="s">
        <v>3665</v>
      </c>
      <c r="I53" t="s">
        <v>3666</v>
      </c>
      <c r="J53" t="s">
        <v>3667</v>
      </c>
    </row>
    <row r="54" spans="1:11" x14ac:dyDescent="0.2">
      <c r="A54" t="s">
        <v>3668</v>
      </c>
      <c r="B54" t="s">
        <v>3669</v>
      </c>
      <c r="C54" t="s">
        <v>3670</v>
      </c>
      <c r="D54" t="str">
        <f>"00130"</f>
        <v>00130</v>
      </c>
      <c r="E54" t="s">
        <v>3417</v>
      </c>
      <c r="F54" t="s">
        <v>3671</v>
      </c>
      <c r="G54" t="str">
        <f>"22.09.2014"</f>
        <v>22.09.2014</v>
      </c>
      <c r="H54" t="s">
        <v>3672</v>
      </c>
      <c r="I54" t="s">
        <v>3673</v>
      </c>
      <c r="J54" t="s">
        <v>3674</v>
      </c>
      <c r="K54" t="s">
        <v>3460</v>
      </c>
    </row>
    <row r="55" spans="1:11" x14ac:dyDescent="0.2">
      <c r="A55" t="s">
        <v>3675</v>
      </c>
      <c r="B55" t="s">
        <v>3676</v>
      </c>
      <c r="C55" t="s">
        <v>3677</v>
      </c>
      <c r="D55" t="str">
        <f>"00101"</f>
        <v>00101</v>
      </c>
      <c r="E55" t="s">
        <v>3417</v>
      </c>
      <c r="F55" t="s">
        <v>3678</v>
      </c>
      <c r="G55" t="str">
        <f>"12.08.2014"</f>
        <v>12.08.2014</v>
      </c>
      <c r="H55" t="s">
        <v>3679</v>
      </c>
      <c r="I55" t="s">
        <v>3680</v>
      </c>
      <c r="J55" t="s">
        <v>3681</v>
      </c>
      <c r="K55" t="s">
        <v>19</v>
      </c>
    </row>
    <row r="56" spans="1:11" x14ac:dyDescent="0.2">
      <c r="A56" t="s">
        <v>3682</v>
      </c>
      <c r="B56" t="s">
        <v>3683</v>
      </c>
      <c r="C56" t="s">
        <v>3684</v>
      </c>
      <c r="D56" t="str">
        <f>"00510"</f>
        <v>00510</v>
      </c>
      <c r="E56" t="s">
        <v>3417</v>
      </c>
      <c r="F56" t="s">
        <v>3685</v>
      </c>
      <c r="G56" t="str">
        <f>"07.10.2014"</f>
        <v>07.10.2014</v>
      </c>
      <c r="H56" t="s">
        <v>3686</v>
      </c>
      <c r="I56" t="s">
        <v>3687</v>
      </c>
      <c r="J56" t="s">
        <v>3688</v>
      </c>
      <c r="K56" t="s">
        <v>3644</v>
      </c>
    </row>
    <row r="57" spans="1:11" x14ac:dyDescent="0.2">
      <c r="A57" t="s">
        <v>3689</v>
      </c>
      <c r="B57" t="s">
        <v>3690</v>
      </c>
      <c r="C57" t="s">
        <v>3691</v>
      </c>
      <c r="D57" t="str">
        <f>"02150"</f>
        <v>02150</v>
      </c>
      <c r="E57" t="s">
        <v>3413</v>
      </c>
      <c r="F57" t="s">
        <v>3692</v>
      </c>
      <c r="G57" t="str">
        <f>"09.02.2018"</f>
        <v>09.02.2018</v>
      </c>
      <c r="H57" t="s">
        <v>3693</v>
      </c>
      <c r="I57" t="s">
        <v>3694</v>
      </c>
      <c r="J57" t="s">
        <v>3695</v>
      </c>
      <c r="K57" t="s">
        <v>19</v>
      </c>
    </row>
    <row r="58" spans="1:11" x14ac:dyDescent="0.2">
      <c r="A58" t="s">
        <v>3696</v>
      </c>
      <c r="B58" t="s">
        <v>3697</v>
      </c>
      <c r="C58" t="s">
        <v>3698</v>
      </c>
      <c r="D58" t="str">
        <f>"00120"</f>
        <v>00120</v>
      </c>
      <c r="E58" t="s">
        <v>3417</v>
      </c>
      <c r="F58" t="s">
        <v>3699</v>
      </c>
      <c r="G58" t="str">
        <f>"11.07.2017"</f>
        <v>11.07.2017</v>
      </c>
      <c r="H58" t="s">
        <v>3700</v>
      </c>
      <c r="I58" t="s">
        <v>3701</v>
      </c>
      <c r="J58" t="s">
        <v>3702</v>
      </c>
      <c r="K58" t="s">
        <v>19</v>
      </c>
    </row>
    <row r="59" spans="1:11" x14ac:dyDescent="0.2">
      <c r="A59" t="s">
        <v>3703</v>
      </c>
      <c r="B59" t="s">
        <v>3704</v>
      </c>
      <c r="C59" t="s">
        <v>3705</v>
      </c>
      <c r="D59" t="str">
        <f>"06200"</f>
        <v>06200</v>
      </c>
      <c r="E59" t="s">
        <v>3706</v>
      </c>
      <c r="F59" t="s">
        <v>3707</v>
      </c>
      <c r="G59" t="str">
        <f>"11.08.2017"</f>
        <v>11.08.2017</v>
      </c>
      <c r="H59" t="s">
        <v>3708</v>
      </c>
      <c r="I59" t="s">
        <v>3709</v>
      </c>
      <c r="J59" t="s">
        <v>3710</v>
      </c>
      <c r="K59" t="s">
        <v>618</v>
      </c>
    </row>
    <row r="60" spans="1:11" x14ac:dyDescent="0.2">
      <c r="A60" t="s">
        <v>3711</v>
      </c>
      <c r="B60" t="s">
        <v>3712</v>
      </c>
      <c r="C60" t="s">
        <v>3713</v>
      </c>
      <c r="D60" t="str">
        <f>"00220"</f>
        <v>00220</v>
      </c>
      <c r="E60" t="s">
        <v>3417</v>
      </c>
      <c r="F60" t="s">
        <v>3714</v>
      </c>
      <c r="G60" t="str">
        <f>"21.08.2014"</f>
        <v>21.08.2014</v>
      </c>
      <c r="H60" t="s">
        <v>3715</v>
      </c>
      <c r="I60" t="s">
        <v>3716</v>
      </c>
      <c r="J60" t="s">
        <v>3717</v>
      </c>
      <c r="K60" t="s">
        <v>3460</v>
      </c>
    </row>
    <row r="61" spans="1:11" x14ac:dyDescent="0.2">
      <c r="A61" t="s">
        <v>3718</v>
      </c>
      <c r="B61" t="s">
        <v>3719</v>
      </c>
      <c r="C61" t="s">
        <v>3720</v>
      </c>
      <c r="D61" t="str">
        <f>"00200"</f>
        <v>00200</v>
      </c>
      <c r="E61" t="s">
        <v>3417</v>
      </c>
      <c r="F61" t="s">
        <v>3721</v>
      </c>
      <c r="G61" t="str">
        <f>"21.01.2015"</f>
        <v>21.01.2015</v>
      </c>
      <c r="H61" t="s">
        <v>3722</v>
      </c>
      <c r="I61" t="s">
        <v>3723</v>
      </c>
      <c r="J61" t="s">
        <v>3724</v>
      </c>
      <c r="K61" t="s">
        <v>3725</v>
      </c>
    </row>
    <row r="62" spans="1:11" x14ac:dyDescent="0.2">
      <c r="A62" t="s">
        <v>3726</v>
      </c>
      <c r="B62" t="s">
        <v>3727</v>
      </c>
      <c r="C62" t="s">
        <v>3517</v>
      </c>
      <c r="D62" t="str">
        <f>"00180"</f>
        <v>00180</v>
      </c>
      <c r="E62" t="s">
        <v>3417</v>
      </c>
      <c r="F62" t="s">
        <v>3728</v>
      </c>
      <c r="G62" t="str">
        <f>"23.03.2007"</f>
        <v>23.03.2007</v>
      </c>
      <c r="H62" t="s">
        <v>3729</v>
      </c>
      <c r="I62" t="s">
        <v>3730</v>
      </c>
      <c r="J62" t="s">
        <v>3731</v>
      </c>
      <c r="K62" t="s">
        <v>19</v>
      </c>
    </row>
    <row r="63" spans="1:11" x14ac:dyDescent="0.2">
      <c r="A63" t="s">
        <v>3732</v>
      </c>
      <c r="B63" t="s">
        <v>3733</v>
      </c>
      <c r="C63" t="s">
        <v>3734</v>
      </c>
      <c r="D63" t="str">
        <f>"50101"</f>
        <v>50101</v>
      </c>
      <c r="E63" t="s">
        <v>3735</v>
      </c>
      <c r="F63" t="s">
        <v>3736</v>
      </c>
      <c r="G63" t="str">
        <f>"01.08.2006"</f>
        <v>01.08.2006</v>
      </c>
      <c r="H63" t="s">
        <v>3737</v>
      </c>
      <c r="I63" t="s">
        <v>3738</v>
      </c>
      <c r="J63" t="s">
        <v>3739</v>
      </c>
      <c r="K63" t="s">
        <v>3460</v>
      </c>
    </row>
    <row r="64" spans="1:11" x14ac:dyDescent="0.2">
      <c r="A64" t="s">
        <v>3740</v>
      </c>
      <c r="B64" t="s">
        <v>3741</v>
      </c>
      <c r="C64" t="s">
        <v>3455</v>
      </c>
      <c r="D64" t="str">
        <f>"02150"</f>
        <v>02150</v>
      </c>
      <c r="E64" t="s">
        <v>3413</v>
      </c>
      <c r="F64" t="s">
        <v>3742</v>
      </c>
      <c r="G64" t="str">
        <f>"20.08.1996"</f>
        <v>20.08.1996</v>
      </c>
      <c r="H64" t="s">
        <v>3743</v>
      </c>
      <c r="I64" t="s">
        <v>3744</v>
      </c>
      <c r="J64" t="s">
        <v>3745</v>
      </c>
      <c r="K64" t="s">
        <v>19</v>
      </c>
    </row>
    <row r="65" spans="1:11" x14ac:dyDescent="0.2">
      <c r="A65" t="s">
        <v>3746</v>
      </c>
      <c r="B65" t="s">
        <v>3747</v>
      </c>
      <c r="C65" t="s">
        <v>3748</v>
      </c>
      <c r="D65" t="str">
        <f>"00180"</f>
        <v>00180</v>
      </c>
      <c r="E65" t="s">
        <v>3417</v>
      </c>
      <c r="F65" t="s">
        <v>3749</v>
      </c>
      <c r="G65" t="str">
        <f>"29.01.2007"</f>
        <v>29.01.2007</v>
      </c>
      <c r="H65" t="s">
        <v>3750</v>
      </c>
      <c r="I65" t="s">
        <v>3751</v>
      </c>
      <c r="J65" t="s">
        <v>3752</v>
      </c>
      <c r="K65" t="s">
        <v>3753</v>
      </c>
    </row>
    <row r="66" spans="1:11" x14ac:dyDescent="0.2">
      <c r="A66" t="s">
        <v>3754</v>
      </c>
      <c r="B66" t="s">
        <v>3755</v>
      </c>
      <c r="C66" t="s">
        <v>3756</v>
      </c>
      <c r="D66" t="str">
        <f>"00200"</f>
        <v>00200</v>
      </c>
      <c r="E66" t="s">
        <v>3417</v>
      </c>
      <c r="F66" t="s">
        <v>3757</v>
      </c>
      <c r="G66" t="str">
        <f>"02.04.2013"</f>
        <v>02.04.2013</v>
      </c>
      <c r="H66" t="s">
        <v>3758</v>
      </c>
      <c r="I66" t="s">
        <v>3759</v>
      </c>
      <c r="J66" t="s">
        <v>3760</v>
      </c>
      <c r="K66" t="s">
        <v>3460</v>
      </c>
    </row>
    <row r="67" spans="1:11" x14ac:dyDescent="0.2">
      <c r="A67" t="s">
        <v>3761</v>
      </c>
      <c r="B67" t="s">
        <v>3762</v>
      </c>
      <c r="C67" t="s">
        <v>3763</v>
      </c>
      <c r="D67" t="str">
        <f>"02600"</f>
        <v>02600</v>
      </c>
      <c r="E67" t="s">
        <v>3413</v>
      </c>
      <c r="F67" t="s">
        <v>3764</v>
      </c>
      <c r="G67" t="str">
        <f>"11.12.2009"</f>
        <v>11.12.2009</v>
      </c>
      <c r="H67" t="s">
        <v>3765</v>
      </c>
      <c r="I67" t="s">
        <v>3766</v>
      </c>
      <c r="J67" t="s">
        <v>3767</v>
      </c>
      <c r="K67" t="s">
        <v>3460</v>
      </c>
    </row>
    <row r="68" spans="1:11" x14ac:dyDescent="0.2">
      <c r="A68" t="s">
        <v>3768</v>
      </c>
      <c r="B68" t="s">
        <v>3769</v>
      </c>
      <c r="C68" t="s">
        <v>3770</v>
      </c>
      <c r="D68" t="str">
        <f>"02600"</f>
        <v>02600</v>
      </c>
      <c r="E68" t="s">
        <v>3413</v>
      </c>
      <c r="F68" t="s">
        <v>3771</v>
      </c>
      <c r="G68" t="str">
        <f>"24.05.2002"</f>
        <v>24.05.2002</v>
      </c>
      <c r="H68" t="s">
        <v>3772</v>
      </c>
      <c r="I68" t="s">
        <v>3773</v>
      </c>
      <c r="J68" t="s">
        <v>3774</v>
      </c>
      <c r="K68" t="s">
        <v>19</v>
      </c>
    </row>
    <row r="69" spans="1:11" x14ac:dyDescent="0.2">
      <c r="A69" t="s">
        <v>3775</v>
      </c>
      <c r="B69" t="s">
        <v>3776</v>
      </c>
      <c r="C69" t="s">
        <v>3777</v>
      </c>
      <c r="D69" t="str">
        <f>"02600"</f>
        <v>02600</v>
      </c>
      <c r="E69" t="s">
        <v>3413</v>
      </c>
      <c r="F69" t="s">
        <v>3778</v>
      </c>
      <c r="G69" t="str">
        <f>"31.08.2007"</f>
        <v>31.08.2007</v>
      </c>
      <c r="H69" t="s">
        <v>3779</v>
      </c>
      <c r="I69" t="s">
        <v>3780</v>
      </c>
      <c r="J69" t="s">
        <v>3781</v>
      </c>
      <c r="K69" t="s">
        <v>3644</v>
      </c>
    </row>
    <row r="70" spans="1:11" x14ac:dyDescent="0.2">
      <c r="A70" t="s">
        <v>3782</v>
      </c>
      <c r="B70" t="s">
        <v>3783</v>
      </c>
      <c r="C70" t="s">
        <v>3777</v>
      </c>
      <c r="D70" t="str">
        <f>"02600"</f>
        <v>02600</v>
      </c>
      <c r="E70" t="s">
        <v>3413</v>
      </c>
      <c r="F70" t="s">
        <v>3784</v>
      </c>
      <c r="G70" t="str">
        <f>"29.12.1998"</f>
        <v>29.12.1998</v>
      </c>
      <c r="H70" t="s">
        <v>3779</v>
      </c>
      <c r="I70" t="s">
        <v>3785</v>
      </c>
      <c r="J70" t="s">
        <v>3781</v>
      </c>
      <c r="K70" t="s">
        <v>3644</v>
      </c>
    </row>
    <row r="71" spans="1:11" x14ac:dyDescent="0.2">
      <c r="A71" t="s">
        <v>3786</v>
      </c>
      <c r="B71" t="s">
        <v>3787</v>
      </c>
      <c r="C71" t="s">
        <v>3788</v>
      </c>
      <c r="D71" t="str">
        <f>"07590"</f>
        <v>07590</v>
      </c>
      <c r="E71" t="s">
        <v>3789</v>
      </c>
      <c r="F71" t="s">
        <v>3790</v>
      </c>
      <c r="G71" t="str">
        <f>"21.08.2016"</f>
        <v>21.08.2016</v>
      </c>
      <c r="H71" t="s">
        <v>3791</v>
      </c>
      <c r="I71" t="s">
        <v>3792</v>
      </c>
      <c r="J71" t="s">
        <v>3793</v>
      </c>
      <c r="K71" t="s">
        <v>3794</v>
      </c>
    </row>
    <row r="72" spans="1:11" x14ac:dyDescent="0.2">
      <c r="A72" t="s">
        <v>3795</v>
      </c>
      <c r="B72" t="s">
        <v>3796</v>
      </c>
      <c r="C72" t="s">
        <v>3797</v>
      </c>
      <c r="D72" t="str">
        <f>"40100"</f>
        <v>40100</v>
      </c>
      <c r="E72" t="s">
        <v>3464</v>
      </c>
      <c r="F72" t="s">
        <v>3798</v>
      </c>
      <c r="G72" t="str">
        <f>"30.06.2014"</f>
        <v>30.06.2014</v>
      </c>
      <c r="H72" t="s">
        <v>3799</v>
      </c>
      <c r="I72" t="s">
        <v>3800</v>
      </c>
      <c r="J72" t="s">
        <v>3801</v>
      </c>
      <c r="K72" t="s">
        <v>3460</v>
      </c>
    </row>
    <row r="73" spans="1:11" x14ac:dyDescent="0.2">
      <c r="A73" t="s">
        <v>3802</v>
      </c>
      <c r="B73" t="s">
        <v>3803</v>
      </c>
      <c r="C73" t="s">
        <v>3797</v>
      </c>
      <c r="D73" t="str">
        <f>"40100"</f>
        <v>40100</v>
      </c>
      <c r="E73" t="s">
        <v>3464</v>
      </c>
      <c r="F73" t="s">
        <v>3798</v>
      </c>
      <c r="G73" t="str">
        <f>"31.10.2017"</f>
        <v>31.10.2017</v>
      </c>
      <c r="H73" t="s">
        <v>3799</v>
      </c>
      <c r="I73" t="s">
        <v>3804</v>
      </c>
      <c r="J73" t="s">
        <v>3801</v>
      </c>
      <c r="K73" t="s">
        <v>3460</v>
      </c>
    </row>
    <row r="74" spans="1:11" x14ac:dyDescent="0.2">
      <c r="A74" t="s">
        <v>3805</v>
      </c>
      <c r="B74" t="s">
        <v>3806</v>
      </c>
      <c r="C74" t="s">
        <v>3807</v>
      </c>
      <c r="D74" t="str">
        <f>"02600"</f>
        <v>02600</v>
      </c>
      <c r="E74" t="s">
        <v>3413</v>
      </c>
      <c r="F74" t="s">
        <v>3808</v>
      </c>
      <c r="G74" t="str">
        <f>"22.06.2015"</f>
        <v>22.06.2015</v>
      </c>
      <c r="H74" t="s">
        <v>3809</v>
      </c>
      <c r="I74" t="s">
        <v>3810</v>
      </c>
      <c r="J74" t="s">
        <v>3811</v>
      </c>
      <c r="K74" t="s">
        <v>3660</v>
      </c>
    </row>
    <row r="75" spans="1:11" x14ac:dyDescent="0.2">
      <c r="A75" t="s">
        <v>3812</v>
      </c>
      <c r="B75" t="s">
        <v>3813</v>
      </c>
      <c r="C75" t="s">
        <v>3814</v>
      </c>
      <c r="D75" t="str">
        <f>"20100"</f>
        <v>20100</v>
      </c>
      <c r="E75" t="s">
        <v>3639</v>
      </c>
      <c r="F75" t="s">
        <v>3815</v>
      </c>
      <c r="G75" t="str">
        <f>"30.01.2015"</f>
        <v>30.01.2015</v>
      </c>
      <c r="H75" t="s">
        <v>3816</v>
      </c>
      <c r="I75" t="s">
        <v>3817</v>
      </c>
      <c r="J75" t="s">
        <v>3818</v>
      </c>
      <c r="K75" t="s">
        <v>3422</v>
      </c>
    </row>
    <row r="76" spans="1:11" x14ac:dyDescent="0.2">
      <c r="A76" t="s">
        <v>3819</v>
      </c>
      <c r="B76" t="s">
        <v>3820</v>
      </c>
      <c r="C76" t="s">
        <v>3821</v>
      </c>
      <c r="D76" t="str">
        <f>"33210"</f>
        <v>33210</v>
      </c>
      <c r="E76" t="s">
        <v>3546</v>
      </c>
      <c r="F76" t="s">
        <v>3822</v>
      </c>
      <c r="G76" t="str">
        <f>"12.03.2012"</f>
        <v>12.03.2012</v>
      </c>
      <c r="H76" t="s">
        <v>3823</v>
      </c>
      <c r="I76" t="s">
        <v>3824</v>
      </c>
      <c r="J76" t="s">
        <v>3825</v>
      </c>
      <c r="K76" t="s">
        <v>3826</v>
      </c>
    </row>
    <row r="77" spans="1:11" x14ac:dyDescent="0.2">
      <c r="A77" t="s">
        <v>3827</v>
      </c>
      <c r="B77" t="s">
        <v>3828</v>
      </c>
      <c r="C77" t="s">
        <v>3829</v>
      </c>
      <c r="D77" t="str">
        <f>"00101"</f>
        <v>00101</v>
      </c>
      <c r="E77" t="s">
        <v>3417</v>
      </c>
      <c r="F77" t="s">
        <v>3830</v>
      </c>
      <c r="G77" t="str">
        <f>"07.03.2011"</f>
        <v>07.03.2011</v>
      </c>
      <c r="H77" t="s">
        <v>3831</v>
      </c>
      <c r="I77" t="s">
        <v>3832</v>
      </c>
      <c r="J77" t="s">
        <v>3833</v>
      </c>
      <c r="K77" t="s">
        <v>3460</v>
      </c>
    </row>
    <row r="78" spans="1:11" x14ac:dyDescent="0.2">
      <c r="A78" t="s">
        <v>3834</v>
      </c>
      <c r="B78" t="s">
        <v>3835</v>
      </c>
      <c r="C78" t="s">
        <v>3836</v>
      </c>
      <c r="D78" t="str">
        <f>"33200"</f>
        <v>33200</v>
      </c>
      <c r="E78" t="s">
        <v>3546</v>
      </c>
      <c r="F78" t="s">
        <v>3837</v>
      </c>
      <c r="G78" t="str">
        <f>"06.07.2018"</f>
        <v>06.07.2018</v>
      </c>
      <c r="H78" t="s">
        <v>3838</v>
      </c>
      <c r="I78" t="s">
        <v>3839</v>
      </c>
      <c r="J78" t="s">
        <v>3840</v>
      </c>
      <c r="K78" t="s">
        <v>3460</v>
      </c>
    </row>
    <row r="79" spans="1:11" x14ac:dyDescent="0.2">
      <c r="A79" t="s">
        <v>3841</v>
      </c>
      <c r="B79" t="s">
        <v>3842</v>
      </c>
      <c r="C79" t="s">
        <v>3677</v>
      </c>
      <c r="D79" t="str">
        <f>"00101"</f>
        <v>00101</v>
      </c>
      <c r="E79" t="s">
        <v>3417</v>
      </c>
      <c r="F79" t="s">
        <v>3843</v>
      </c>
      <c r="G79" t="str">
        <f>"06.07.2011"</f>
        <v>06.07.2011</v>
      </c>
      <c r="H79" t="s">
        <v>3844</v>
      </c>
      <c r="I79" t="s">
        <v>3845</v>
      </c>
      <c r="J79" t="s">
        <v>3846</v>
      </c>
      <c r="K79" t="s">
        <v>19</v>
      </c>
    </row>
    <row r="80" spans="1:11" x14ac:dyDescent="0.2">
      <c r="A80" t="s">
        <v>3847</v>
      </c>
      <c r="B80" t="s">
        <v>3848</v>
      </c>
      <c r="C80" t="s">
        <v>3849</v>
      </c>
      <c r="D80" t="str">
        <f>"00100"</f>
        <v>00100</v>
      </c>
      <c r="E80" t="s">
        <v>3417</v>
      </c>
      <c r="F80" t="s">
        <v>3850</v>
      </c>
      <c r="G80" t="str">
        <f>"21.08.2012"</f>
        <v>21.08.2012</v>
      </c>
      <c r="H80" t="s">
        <v>3851</v>
      </c>
      <c r="I80" t="s">
        <v>3852</v>
      </c>
      <c r="J80" t="s">
        <v>3853</v>
      </c>
      <c r="K80" t="s">
        <v>3460</v>
      </c>
    </row>
    <row r="81" spans="1:11" x14ac:dyDescent="0.2">
      <c r="A81" t="s">
        <v>3854</v>
      </c>
      <c r="B81" t="s">
        <v>3855</v>
      </c>
      <c r="C81" t="s">
        <v>3856</v>
      </c>
      <c r="D81" t="str">
        <f>"20520"</f>
        <v>20520</v>
      </c>
      <c r="E81" t="s">
        <v>3639</v>
      </c>
      <c r="F81" t="s">
        <v>3857</v>
      </c>
      <c r="G81" t="str">
        <f>"25.10.2013"</f>
        <v>25.10.2013</v>
      </c>
      <c r="H81" t="s">
        <v>3858</v>
      </c>
      <c r="I81" t="s">
        <v>3859</v>
      </c>
      <c r="J81" t="s">
        <v>3860</v>
      </c>
      <c r="K81" t="s">
        <v>3460</v>
      </c>
    </row>
    <row r="82" spans="1:11" x14ac:dyDescent="0.2">
      <c r="A82" t="s">
        <v>3861</v>
      </c>
      <c r="B82" t="s">
        <v>3862</v>
      </c>
      <c r="C82" t="s">
        <v>3863</v>
      </c>
      <c r="D82" t="str">
        <f>"40100"</f>
        <v>40100</v>
      </c>
      <c r="E82" t="s">
        <v>3464</v>
      </c>
      <c r="F82" t="s">
        <v>3864</v>
      </c>
      <c r="G82" t="str">
        <f>"14.11.2018"</f>
        <v>14.11.2018</v>
      </c>
      <c r="H82" t="s">
        <v>3865</v>
      </c>
      <c r="I82" t="s">
        <v>3866</v>
      </c>
      <c r="J82" t="s">
        <v>3867</v>
      </c>
      <c r="K82" t="s">
        <v>3460</v>
      </c>
    </row>
    <row r="83" spans="1:11" x14ac:dyDescent="0.2">
      <c r="A83" t="s">
        <v>3868</v>
      </c>
      <c r="B83" t="s">
        <v>3869</v>
      </c>
      <c r="C83" t="s">
        <v>3870</v>
      </c>
      <c r="D83" t="str">
        <f>"02600"</f>
        <v>02600</v>
      </c>
      <c r="E83" t="s">
        <v>3413</v>
      </c>
      <c r="F83" t="s">
        <v>3871</v>
      </c>
      <c r="G83" t="str">
        <f>"02.11.2011"</f>
        <v>02.11.2011</v>
      </c>
      <c r="H83" t="s">
        <v>3872</v>
      </c>
      <c r="I83" t="s">
        <v>3873</v>
      </c>
      <c r="J83" t="s">
        <v>3874</v>
      </c>
      <c r="K83" t="s">
        <v>3644</v>
      </c>
    </row>
    <row r="84" spans="1:11" x14ac:dyDescent="0.2">
      <c r="A84" t="s">
        <v>3875</v>
      </c>
      <c r="B84" t="s">
        <v>3876</v>
      </c>
      <c r="C84" t="s">
        <v>3877</v>
      </c>
      <c r="D84" t="str">
        <f>"00180"</f>
        <v>00180</v>
      </c>
      <c r="E84" t="s">
        <v>3417</v>
      </c>
      <c r="F84" t="s">
        <v>3878</v>
      </c>
      <c r="G84" t="str">
        <f>"03.06.2011"</f>
        <v>03.06.2011</v>
      </c>
      <c r="H84" t="s">
        <v>3879</v>
      </c>
      <c r="I84" t="s">
        <v>3880</v>
      </c>
      <c r="J84" t="s">
        <v>3881</v>
      </c>
      <c r="K84" t="s">
        <v>19</v>
      </c>
    </row>
    <row r="85" spans="1:11" x14ac:dyDescent="0.2">
      <c r="A85" t="s">
        <v>3882</v>
      </c>
      <c r="B85" t="s">
        <v>3883</v>
      </c>
      <c r="C85" t="s">
        <v>3884</v>
      </c>
      <c r="D85" t="str">
        <f>"40100"</f>
        <v>40100</v>
      </c>
      <c r="E85" t="s">
        <v>3464</v>
      </c>
      <c r="F85" t="s">
        <v>3885</v>
      </c>
      <c r="G85" t="str">
        <f>"11.04.2012"</f>
        <v>11.04.2012</v>
      </c>
      <c r="H85" t="s">
        <v>3886</v>
      </c>
      <c r="I85" t="s">
        <v>3887</v>
      </c>
      <c r="J85" t="s">
        <v>3888</v>
      </c>
      <c r="K85" t="s">
        <v>3460</v>
      </c>
    </row>
    <row r="86" spans="1:11" x14ac:dyDescent="0.2">
      <c r="A86" t="s">
        <v>3889</v>
      </c>
      <c r="B86" t="s">
        <v>3890</v>
      </c>
      <c r="C86" t="s">
        <v>3891</v>
      </c>
      <c r="D86" t="str">
        <f>"20200"</f>
        <v>20200</v>
      </c>
      <c r="E86" t="s">
        <v>3639</v>
      </c>
      <c r="F86" t="s">
        <v>3892</v>
      </c>
      <c r="G86" t="str">
        <f>"05.07.2004"</f>
        <v>05.07.2004</v>
      </c>
      <c r="H86" t="s">
        <v>3893</v>
      </c>
      <c r="I86" t="s">
        <v>3894</v>
      </c>
      <c r="J86" t="s">
        <v>3895</v>
      </c>
      <c r="K86" t="s">
        <v>3460</v>
      </c>
    </row>
    <row r="87" spans="1:11" x14ac:dyDescent="0.2">
      <c r="A87" t="s">
        <v>3896</v>
      </c>
      <c r="B87" t="s">
        <v>3897</v>
      </c>
      <c r="C87" t="s">
        <v>3898</v>
      </c>
      <c r="D87" t="str">
        <f>"00100"</f>
        <v>00100</v>
      </c>
      <c r="E87" t="s">
        <v>3417</v>
      </c>
      <c r="F87" t="s">
        <v>3899</v>
      </c>
      <c r="G87" t="str">
        <f>"03.06.2015"</f>
        <v>03.06.2015</v>
      </c>
      <c r="H87" t="s">
        <v>3900</v>
      </c>
      <c r="I87" t="s">
        <v>3901</v>
      </c>
      <c r="J87" t="s">
        <v>3902</v>
      </c>
      <c r="K87" t="s">
        <v>19</v>
      </c>
    </row>
    <row r="88" spans="1:11" x14ac:dyDescent="0.2">
      <c r="A88" t="s">
        <v>3903</v>
      </c>
      <c r="B88" t="s">
        <v>3904</v>
      </c>
      <c r="C88" t="s">
        <v>3905</v>
      </c>
      <c r="D88" t="str">
        <f>"40100"</f>
        <v>40100</v>
      </c>
      <c r="E88" t="s">
        <v>3464</v>
      </c>
      <c r="F88" t="s">
        <v>3906</v>
      </c>
      <c r="G88" t="str">
        <f>"11.02.2014"</f>
        <v>11.02.2014</v>
      </c>
      <c r="H88" t="s">
        <v>3907</v>
      </c>
      <c r="I88" t="s">
        <v>3908</v>
      </c>
      <c r="J88" t="s">
        <v>3909</v>
      </c>
      <c r="K88" t="s">
        <v>3460</v>
      </c>
    </row>
    <row r="89" spans="1:11" x14ac:dyDescent="0.2">
      <c r="A89" t="s">
        <v>3910</v>
      </c>
      <c r="B89" t="s">
        <v>3911</v>
      </c>
      <c r="C89" t="s">
        <v>3912</v>
      </c>
      <c r="D89" t="str">
        <f>"00130"</f>
        <v>00130</v>
      </c>
      <c r="E89" t="s">
        <v>3417</v>
      </c>
      <c r="F89" t="s">
        <v>3913</v>
      </c>
      <c r="G89" t="str">
        <f>"19.01.2016"</f>
        <v>19.01.2016</v>
      </c>
      <c r="H89" t="s">
        <v>3914</v>
      </c>
      <c r="I89" t="s">
        <v>3915</v>
      </c>
      <c r="J89" t="s">
        <v>3916</v>
      </c>
      <c r="K89" t="s">
        <v>19</v>
      </c>
    </row>
    <row r="90" spans="1:11" x14ac:dyDescent="0.2">
      <c r="A90" t="s">
        <v>3917</v>
      </c>
      <c r="B90" t="s">
        <v>3918</v>
      </c>
      <c r="C90" t="s">
        <v>3919</v>
      </c>
      <c r="D90" t="str">
        <f>"70340"</f>
        <v>70340</v>
      </c>
      <c r="E90" t="s">
        <v>3920</v>
      </c>
      <c r="F90" t="s">
        <v>3921</v>
      </c>
      <c r="G90" t="str">
        <f>"04.07.2016"</f>
        <v>04.07.2016</v>
      </c>
      <c r="H90" t="s">
        <v>3922</v>
      </c>
      <c r="I90" t="s">
        <v>3923</v>
      </c>
      <c r="J90" t="s">
        <v>3924</v>
      </c>
      <c r="K90" t="s">
        <v>19</v>
      </c>
    </row>
    <row r="91" spans="1:11" x14ac:dyDescent="0.2">
      <c r="A91" t="s">
        <v>3925</v>
      </c>
      <c r="B91" t="s">
        <v>3926</v>
      </c>
      <c r="C91" t="s">
        <v>3927</v>
      </c>
      <c r="D91" t="str">
        <f>"00140"</f>
        <v>00140</v>
      </c>
      <c r="E91" t="s">
        <v>3417</v>
      </c>
      <c r="F91" t="s">
        <v>3928</v>
      </c>
      <c r="G91" t="str">
        <f>"25.08.2020"</f>
        <v>25.08.2020</v>
      </c>
      <c r="H91" t="s">
        <v>3929</v>
      </c>
      <c r="I91" t="s">
        <v>3930</v>
      </c>
      <c r="J91" t="s">
        <v>3931</v>
      </c>
      <c r="K91" t="s">
        <v>19</v>
      </c>
    </row>
    <row r="92" spans="1:11" x14ac:dyDescent="0.2">
      <c r="A92" t="s">
        <v>3932</v>
      </c>
      <c r="B92" t="s">
        <v>3933</v>
      </c>
      <c r="C92" t="s">
        <v>3934</v>
      </c>
      <c r="D92" t="str">
        <f>"01280"</f>
        <v>01280</v>
      </c>
      <c r="E92" t="s">
        <v>3935</v>
      </c>
      <c r="F92" t="s">
        <v>3936</v>
      </c>
      <c r="G92" t="str">
        <f>"16.11.2011"</f>
        <v>16.11.2011</v>
      </c>
      <c r="H92" t="s">
        <v>3937</v>
      </c>
      <c r="I92" t="s">
        <v>3938</v>
      </c>
      <c r="J92" t="s">
        <v>3939</v>
      </c>
      <c r="K92" t="s">
        <v>19</v>
      </c>
    </row>
    <row r="93" spans="1:11" x14ac:dyDescent="0.2">
      <c r="A93" t="s">
        <v>3940</v>
      </c>
      <c r="B93" t="s">
        <v>3941</v>
      </c>
      <c r="C93" t="s">
        <v>3734</v>
      </c>
      <c r="D93" t="str">
        <f>"00581"</f>
        <v>00581</v>
      </c>
      <c r="E93" t="s">
        <v>3417</v>
      </c>
      <c r="F93" t="s">
        <v>3942</v>
      </c>
      <c r="G93" t="str">
        <f>"07.12.2015"</f>
        <v>07.12.2015</v>
      </c>
      <c r="H93" t="s">
        <v>3943</v>
      </c>
      <c r="I93" t="s">
        <v>3944</v>
      </c>
      <c r="J93" t="s">
        <v>3945</v>
      </c>
      <c r="K93" t="s">
        <v>3946</v>
      </c>
    </row>
    <row r="94" spans="1:11" x14ac:dyDescent="0.2">
      <c r="A94" t="s">
        <v>3947</v>
      </c>
      <c r="B94" t="s">
        <v>3948</v>
      </c>
      <c r="C94" t="s">
        <v>3949</v>
      </c>
      <c r="D94" t="str">
        <f>"00100"</f>
        <v>00100</v>
      </c>
      <c r="E94" t="s">
        <v>3417</v>
      </c>
      <c r="F94" t="s">
        <v>3950</v>
      </c>
      <c r="G94" t="str">
        <f>"21.04.2016"</f>
        <v>21.04.2016</v>
      </c>
      <c r="H94" t="s">
        <v>3951</v>
      </c>
      <c r="I94" t="s">
        <v>3952</v>
      </c>
      <c r="J94" t="s">
        <v>3953</v>
      </c>
      <c r="K94" t="s">
        <v>3460</v>
      </c>
    </row>
    <row r="95" spans="1:11" x14ac:dyDescent="0.2">
      <c r="A95" t="s">
        <v>3954</v>
      </c>
      <c r="B95" t="s">
        <v>3955</v>
      </c>
      <c r="C95" t="s">
        <v>3956</v>
      </c>
      <c r="D95" t="str">
        <f>"15820"</f>
        <v>15820</v>
      </c>
      <c r="E95" t="s">
        <v>3957</v>
      </c>
      <c r="F95" t="s">
        <v>3958</v>
      </c>
      <c r="G95" t="str">
        <f>"10.10.2016"</f>
        <v>10.10.2016</v>
      </c>
      <c r="H95" t="s">
        <v>3959</v>
      </c>
      <c r="I95" t="s">
        <v>3960</v>
      </c>
      <c r="J95" t="s">
        <v>3953</v>
      </c>
      <c r="K95" t="s">
        <v>3460</v>
      </c>
    </row>
    <row r="96" spans="1:11" x14ac:dyDescent="0.2">
      <c r="A96" t="s">
        <v>3961</v>
      </c>
      <c r="B96" t="s">
        <v>3962</v>
      </c>
      <c r="C96" t="s">
        <v>3963</v>
      </c>
      <c r="D96" t="str">
        <f>"04260"</f>
        <v>04260</v>
      </c>
      <c r="E96" t="s">
        <v>3964</v>
      </c>
      <c r="F96" t="s">
        <v>3965</v>
      </c>
      <c r="G96" t="str">
        <f>"08.02.2005"</f>
        <v>08.02.2005</v>
      </c>
      <c r="H96" t="s">
        <v>3966</v>
      </c>
      <c r="I96" t="s">
        <v>3967</v>
      </c>
      <c r="J96" t="s">
        <v>3968</v>
      </c>
      <c r="K96" t="s">
        <v>19</v>
      </c>
    </row>
    <row r="97" spans="1:11" x14ac:dyDescent="0.2">
      <c r="A97" t="s">
        <v>3969</v>
      </c>
      <c r="B97" t="s">
        <v>3970</v>
      </c>
      <c r="C97" t="s">
        <v>3971</v>
      </c>
      <c r="D97" t="str">
        <f>"90120"</f>
        <v>90120</v>
      </c>
      <c r="E97" t="s">
        <v>3972</v>
      </c>
      <c r="F97" t="s">
        <v>3973</v>
      </c>
      <c r="G97" t="str">
        <f>"27.09.2012"</f>
        <v>27.09.2012</v>
      </c>
      <c r="H97" t="s">
        <v>3974</v>
      </c>
      <c r="I97" t="s">
        <v>3975</v>
      </c>
      <c r="J97" t="s">
        <v>3976</v>
      </c>
      <c r="K97" t="s">
        <v>3977</v>
      </c>
    </row>
    <row r="98" spans="1:11" x14ac:dyDescent="0.2">
      <c r="A98" t="s">
        <v>3978</v>
      </c>
      <c r="B98" t="s">
        <v>3979</v>
      </c>
      <c r="C98" t="s">
        <v>3980</v>
      </c>
      <c r="D98" t="str">
        <f>"02150"</f>
        <v>02150</v>
      </c>
      <c r="E98" t="s">
        <v>3413</v>
      </c>
      <c r="F98" t="s">
        <v>3981</v>
      </c>
      <c r="G98" t="str">
        <f>"23.08.2019"</f>
        <v>23.08.2019</v>
      </c>
      <c r="H98" t="s">
        <v>3982</v>
      </c>
      <c r="I98" t="s">
        <v>3983</v>
      </c>
      <c r="J98" t="s">
        <v>3984</v>
      </c>
      <c r="K98" t="s">
        <v>3460</v>
      </c>
    </row>
    <row r="99" spans="1:11" x14ac:dyDescent="0.2">
      <c r="A99" t="s">
        <v>3985</v>
      </c>
      <c r="B99" t="s">
        <v>3986</v>
      </c>
      <c r="C99" t="s">
        <v>3987</v>
      </c>
      <c r="D99" t="str">
        <f>"00100"</f>
        <v>00100</v>
      </c>
      <c r="E99" t="s">
        <v>3417</v>
      </c>
      <c r="F99" t="s">
        <v>3988</v>
      </c>
      <c r="G99" t="str">
        <f>"29.08.2013"</f>
        <v>29.08.2013</v>
      </c>
      <c r="H99" t="s">
        <v>3989</v>
      </c>
      <c r="I99" t="s">
        <v>3990</v>
      </c>
      <c r="J99" t="s">
        <v>3991</v>
      </c>
      <c r="K99" t="s">
        <v>3460</v>
      </c>
    </row>
    <row r="100" spans="1:11" x14ac:dyDescent="0.2">
      <c r="A100" t="s">
        <v>3992</v>
      </c>
      <c r="B100" t="s">
        <v>3993</v>
      </c>
      <c r="C100" t="s">
        <v>3994</v>
      </c>
      <c r="D100" t="str">
        <f>"00330"</f>
        <v>00330</v>
      </c>
      <c r="E100" t="s">
        <v>3417</v>
      </c>
      <c r="F100" t="s">
        <v>3995</v>
      </c>
      <c r="G100" t="str">
        <f>"22.10.2007"</f>
        <v>22.10.2007</v>
      </c>
      <c r="H100" t="s">
        <v>3996</v>
      </c>
      <c r="I100" t="s">
        <v>3997</v>
      </c>
      <c r="J100" t="s">
        <v>3998</v>
      </c>
      <c r="K100" t="s">
        <v>3460</v>
      </c>
    </row>
    <row r="101" spans="1:11" x14ac:dyDescent="0.2">
      <c r="A101" t="s">
        <v>3999</v>
      </c>
      <c r="B101" t="s">
        <v>4000</v>
      </c>
      <c r="C101" t="s">
        <v>4001</v>
      </c>
      <c r="D101" t="str">
        <f>"33200"</f>
        <v>33200</v>
      </c>
      <c r="E101" t="s">
        <v>3546</v>
      </c>
      <c r="F101" t="s">
        <v>4002</v>
      </c>
      <c r="G101" t="str">
        <f>"22.06.2005"</f>
        <v>22.06.2005</v>
      </c>
      <c r="H101" t="s">
        <v>4003</v>
      </c>
      <c r="I101" t="s">
        <v>4004</v>
      </c>
      <c r="J101" t="s">
        <v>4005</v>
      </c>
      <c r="K101" t="s">
        <v>3460</v>
      </c>
    </row>
    <row r="102" spans="1:11" x14ac:dyDescent="0.2">
      <c r="A102" t="s">
        <v>4006</v>
      </c>
      <c r="B102" t="s">
        <v>4007</v>
      </c>
      <c r="C102" t="s">
        <v>4008</v>
      </c>
      <c r="D102" t="str">
        <f>"00510"</f>
        <v>00510</v>
      </c>
      <c r="E102" t="s">
        <v>3417</v>
      </c>
      <c r="F102" t="s">
        <v>4009</v>
      </c>
      <c r="G102" t="str">
        <f>"21.08.1990"</f>
        <v>21.08.1990</v>
      </c>
      <c r="H102" t="s">
        <v>4010</v>
      </c>
      <c r="I102" t="s">
        <v>4011</v>
      </c>
      <c r="J102" t="s">
        <v>4012</v>
      </c>
      <c r="K102" t="s">
        <v>3498</v>
      </c>
    </row>
    <row r="103" spans="1:11" x14ac:dyDescent="0.2">
      <c r="A103" t="s">
        <v>4013</v>
      </c>
      <c r="B103" t="s">
        <v>4014</v>
      </c>
      <c r="C103" t="s">
        <v>3455</v>
      </c>
      <c r="D103" t="str">
        <f>"02150"</f>
        <v>02150</v>
      </c>
      <c r="E103" t="s">
        <v>3413</v>
      </c>
      <c r="F103" t="s">
        <v>4015</v>
      </c>
      <c r="G103" t="str">
        <f>"26.06.1998"</f>
        <v>26.06.1998</v>
      </c>
      <c r="H103" t="s">
        <v>4016</v>
      </c>
      <c r="I103" t="s">
        <v>4017</v>
      </c>
      <c r="J103" t="s">
        <v>4018</v>
      </c>
      <c r="K103" t="s">
        <v>3460</v>
      </c>
    </row>
    <row r="104" spans="1:11" x14ac:dyDescent="0.2">
      <c r="A104" t="s">
        <v>4019</v>
      </c>
      <c r="B104" t="s">
        <v>4020</v>
      </c>
      <c r="C104" t="s">
        <v>4021</v>
      </c>
      <c r="D104" t="str">
        <f>"00100"</f>
        <v>00100</v>
      </c>
      <c r="E104" t="s">
        <v>3417</v>
      </c>
      <c r="F104" t="s">
        <v>4022</v>
      </c>
      <c r="G104" t="str">
        <f>"10.01.2011"</f>
        <v>10.01.2011</v>
      </c>
      <c r="H104" t="s">
        <v>4023</v>
      </c>
      <c r="I104" t="s">
        <v>4024</v>
      </c>
      <c r="J104" t="s">
        <v>4025</v>
      </c>
      <c r="K104" t="s">
        <v>19</v>
      </c>
    </row>
    <row r="105" spans="1:11" x14ac:dyDescent="0.2">
      <c r="A105" t="s">
        <v>4026</v>
      </c>
      <c r="B105" t="s">
        <v>4027</v>
      </c>
      <c r="C105" t="s">
        <v>4028</v>
      </c>
      <c r="D105" t="str">
        <f>"00120"</f>
        <v>00120</v>
      </c>
      <c r="E105" t="s">
        <v>3417</v>
      </c>
      <c r="F105" t="s">
        <v>4029</v>
      </c>
      <c r="G105" t="str">
        <f>"21.12.2016"</f>
        <v>21.12.2016</v>
      </c>
      <c r="H105" t="s">
        <v>4030</v>
      </c>
      <c r="I105" t="s">
        <v>4031</v>
      </c>
      <c r="J105" t="s">
        <v>4032</v>
      </c>
      <c r="K105" t="s">
        <v>4033</v>
      </c>
    </row>
    <row r="106" spans="1:11" x14ac:dyDescent="0.2">
      <c r="A106" t="s">
        <v>4034</v>
      </c>
      <c r="B106" t="s">
        <v>4035</v>
      </c>
      <c r="C106" t="s">
        <v>4036</v>
      </c>
      <c r="D106" t="str">
        <f>"02650"</f>
        <v>02650</v>
      </c>
      <c r="E106" t="s">
        <v>3413</v>
      </c>
      <c r="F106" t="s">
        <v>4037</v>
      </c>
      <c r="G106" t="str">
        <f>"10.07.2001"</f>
        <v>10.07.2001</v>
      </c>
      <c r="H106" t="s">
        <v>4038</v>
      </c>
      <c r="I106" t="s">
        <v>4039</v>
      </c>
      <c r="J106" t="s">
        <v>4040</v>
      </c>
      <c r="K106" t="s">
        <v>3506</v>
      </c>
    </row>
    <row r="107" spans="1:11" x14ac:dyDescent="0.2">
      <c r="A107" t="s">
        <v>4041</v>
      </c>
      <c r="B107" t="s">
        <v>4042</v>
      </c>
      <c r="C107" t="s">
        <v>4043</v>
      </c>
      <c r="D107" t="str">
        <f>"00240"</f>
        <v>00240</v>
      </c>
      <c r="E107" t="s">
        <v>3417</v>
      </c>
      <c r="F107" t="s">
        <v>4044</v>
      </c>
      <c r="G107" t="str">
        <f>"23.03.2000"</f>
        <v>23.03.2000</v>
      </c>
      <c r="H107" t="s">
        <v>4045</v>
      </c>
      <c r="I107" t="s">
        <v>4046</v>
      </c>
      <c r="J107" t="s">
        <v>4047</v>
      </c>
      <c r="K107" t="s">
        <v>4048</v>
      </c>
    </row>
    <row r="108" spans="1:11" x14ac:dyDescent="0.2">
      <c r="A108" t="s">
        <v>4049</v>
      </c>
      <c r="B108" t="s">
        <v>4050</v>
      </c>
      <c r="C108" t="s">
        <v>3797</v>
      </c>
      <c r="D108" t="str">
        <f>"40100"</f>
        <v>40100</v>
      </c>
      <c r="E108" t="s">
        <v>3464</v>
      </c>
      <c r="F108" t="s">
        <v>4051</v>
      </c>
      <c r="G108" t="str">
        <f>"01.01.2021"</f>
        <v>01.01.2021</v>
      </c>
      <c r="H108" t="s">
        <v>4052</v>
      </c>
      <c r="I108" t="s">
        <v>4053</v>
      </c>
      <c r="J108" t="s">
        <v>4054</v>
      </c>
      <c r="K108" t="s">
        <v>3506</v>
      </c>
    </row>
    <row r="109" spans="1:11" x14ac:dyDescent="0.2">
      <c r="A109" t="s">
        <v>4055</v>
      </c>
      <c r="B109" t="s">
        <v>4056</v>
      </c>
      <c r="C109" t="s">
        <v>4057</v>
      </c>
      <c r="D109" t="str">
        <f>"20101"</f>
        <v>20101</v>
      </c>
      <c r="E109" t="s">
        <v>3639</v>
      </c>
      <c r="F109" t="s">
        <v>4058</v>
      </c>
      <c r="G109" t="str">
        <f>"06.09.1996"</f>
        <v>06.09.1996</v>
      </c>
      <c r="H109" t="s">
        <v>4059</v>
      </c>
      <c r="I109" t="s">
        <v>4060</v>
      </c>
      <c r="J109" t="s">
        <v>4061</v>
      </c>
      <c r="K109" t="s">
        <v>3506</v>
      </c>
    </row>
    <row r="110" spans="1:11" x14ac:dyDescent="0.2">
      <c r="A110" t="s">
        <v>4062</v>
      </c>
      <c r="B110" t="s">
        <v>4063</v>
      </c>
      <c r="C110" t="s">
        <v>4064</v>
      </c>
      <c r="D110" t="str">
        <f>"00100"</f>
        <v>00100</v>
      </c>
      <c r="E110" t="s">
        <v>3417</v>
      </c>
      <c r="F110" t="s">
        <v>4065</v>
      </c>
      <c r="G110" t="str">
        <f>"15.09.2017"</f>
        <v>15.09.2017</v>
      </c>
      <c r="H110" t="s">
        <v>4066</v>
      </c>
      <c r="I110" t="s">
        <v>4067</v>
      </c>
      <c r="J110" t="s">
        <v>4068</v>
      </c>
      <c r="K110" t="s">
        <v>19</v>
      </c>
    </row>
    <row r="111" spans="1:11" x14ac:dyDescent="0.2">
      <c r="A111" t="s">
        <v>4069</v>
      </c>
      <c r="B111" t="s">
        <v>4070</v>
      </c>
      <c r="C111" t="s">
        <v>4071</v>
      </c>
      <c r="D111" t="str">
        <f>"01670"</f>
        <v>01670</v>
      </c>
      <c r="E111" t="s">
        <v>3935</v>
      </c>
      <c r="F111" t="s">
        <v>4072</v>
      </c>
      <c r="G111" t="str">
        <f>"20.11.2015"</f>
        <v>20.11.2015</v>
      </c>
      <c r="H111" t="s">
        <v>4073</v>
      </c>
      <c r="I111" t="s">
        <v>4074</v>
      </c>
      <c r="J111" t="s">
        <v>4075</v>
      </c>
      <c r="K111" t="s">
        <v>19</v>
      </c>
    </row>
    <row r="112" spans="1:11" x14ac:dyDescent="0.2">
      <c r="A112" t="s">
        <v>4076</v>
      </c>
      <c r="B112" t="s">
        <v>4077</v>
      </c>
      <c r="C112" t="s">
        <v>4078</v>
      </c>
      <c r="D112" t="str">
        <f>"20500"</f>
        <v>20500</v>
      </c>
      <c r="E112" t="s">
        <v>3639</v>
      </c>
      <c r="F112" t="s">
        <v>4079</v>
      </c>
      <c r="G112" t="str">
        <f>"29.03.2001"</f>
        <v>29.03.2001</v>
      </c>
      <c r="H112" t="s">
        <v>4080</v>
      </c>
      <c r="I112" t="s">
        <v>4081</v>
      </c>
      <c r="J112" t="s">
        <v>4082</v>
      </c>
      <c r="K112" t="s">
        <v>3460</v>
      </c>
    </row>
    <row r="113" spans="1:11" x14ac:dyDescent="0.2">
      <c r="A113" t="s">
        <v>4083</v>
      </c>
      <c r="B113" t="s">
        <v>4084</v>
      </c>
      <c r="C113" t="s">
        <v>4085</v>
      </c>
      <c r="D113" t="str">
        <f>"00120"</f>
        <v>00120</v>
      </c>
      <c r="E113" t="s">
        <v>3417</v>
      </c>
      <c r="F113" t="s">
        <v>4086</v>
      </c>
      <c r="G113" t="str">
        <f>"31.10.2007"</f>
        <v>31.10.2007</v>
      </c>
      <c r="H113" t="s">
        <v>4087</v>
      </c>
      <c r="I113" t="s">
        <v>4088</v>
      </c>
      <c r="J113" t="s">
        <v>4089</v>
      </c>
      <c r="K113" t="s">
        <v>3506</v>
      </c>
    </row>
    <row r="114" spans="1:11" x14ac:dyDescent="0.2">
      <c r="A114" t="s">
        <v>4090</v>
      </c>
      <c r="B114" t="s">
        <v>4091</v>
      </c>
      <c r="C114" t="s">
        <v>4092</v>
      </c>
      <c r="D114" t="str">
        <f>"00180"</f>
        <v>00180</v>
      </c>
      <c r="E114" t="s">
        <v>3417</v>
      </c>
      <c r="F114" t="s">
        <v>4093</v>
      </c>
      <c r="G114" t="str">
        <f>"22.04.2016"</f>
        <v>22.04.2016</v>
      </c>
      <c r="H114" t="s">
        <v>4094</v>
      </c>
      <c r="I114" t="s">
        <v>4095</v>
      </c>
      <c r="J114" t="s">
        <v>4096</v>
      </c>
      <c r="K114" t="s">
        <v>28</v>
      </c>
    </row>
    <row r="115" spans="1:11" x14ac:dyDescent="0.2">
      <c r="A115" t="s">
        <v>4097</v>
      </c>
      <c r="B115" t="s">
        <v>4098</v>
      </c>
      <c r="C115" t="s">
        <v>4099</v>
      </c>
      <c r="D115" t="str">
        <f>"00180"</f>
        <v>00180</v>
      </c>
      <c r="E115" t="s">
        <v>3417</v>
      </c>
      <c r="F115" t="s">
        <v>4100</v>
      </c>
      <c r="G115" t="str">
        <f>"22.07.2008"</f>
        <v>22.07.2008</v>
      </c>
      <c r="H115" t="s">
        <v>4101</v>
      </c>
      <c r="I115" t="s">
        <v>4102</v>
      </c>
      <c r="J115" t="s">
        <v>4103</v>
      </c>
      <c r="K115" t="s">
        <v>19</v>
      </c>
    </row>
    <row r="116" spans="1:11" x14ac:dyDescent="0.2">
      <c r="A116" t="s">
        <v>4104</v>
      </c>
      <c r="B116" t="s">
        <v>4105</v>
      </c>
      <c r="C116" t="s">
        <v>4106</v>
      </c>
      <c r="D116" t="str">
        <f>"00520"</f>
        <v>00520</v>
      </c>
      <c r="E116" t="s">
        <v>3417</v>
      </c>
      <c r="F116" t="s">
        <v>4107</v>
      </c>
      <c r="G116" t="str">
        <f>"21.11.2017"</f>
        <v>21.11.2017</v>
      </c>
      <c r="H116" t="s">
        <v>4108</v>
      </c>
      <c r="I116" t="s">
        <v>4109</v>
      </c>
      <c r="J116" t="s">
        <v>4110</v>
      </c>
      <c r="K116" t="s">
        <v>3460</v>
      </c>
    </row>
    <row r="117" spans="1:11" x14ac:dyDescent="0.2">
      <c r="A117" t="s">
        <v>4111</v>
      </c>
      <c r="B117" t="s">
        <v>4112</v>
      </c>
      <c r="C117" t="s">
        <v>4113</v>
      </c>
      <c r="D117" t="str">
        <f>"02720"</f>
        <v>02720</v>
      </c>
      <c r="E117" t="s">
        <v>3413</v>
      </c>
      <c r="F117" t="s">
        <v>4114</v>
      </c>
      <c r="G117" t="str">
        <f>"28.05.2019"</f>
        <v>28.05.2019</v>
      </c>
      <c r="H117" t="s">
        <v>4115</v>
      </c>
      <c r="I117" t="s">
        <v>4116</v>
      </c>
      <c r="J117" t="s">
        <v>4117</v>
      </c>
      <c r="K117" t="s">
        <v>3460</v>
      </c>
    </row>
    <row r="118" spans="1:11" x14ac:dyDescent="0.2">
      <c r="A118" t="s">
        <v>4118</v>
      </c>
      <c r="B118" t="s">
        <v>4119</v>
      </c>
      <c r="C118" t="s">
        <v>3980</v>
      </c>
      <c r="D118" t="str">
        <f>"02150"</f>
        <v>02150</v>
      </c>
      <c r="E118" t="s">
        <v>3413</v>
      </c>
      <c r="F118" t="s">
        <v>4120</v>
      </c>
      <c r="G118" t="str">
        <f>"19.01.2016"</f>
        <v>19.01.2016</v>
      </c>
      <c r="H118" t="s">
        <v>4121</v>
      </c>
      <c r="I118" t="s">
        <v>4122</v>
      </c>
      <c r="J118" t="s">
        <v>4123</v>
      </c>
      <c r="K118" t="s">
        <v>4124</v>
      </c>
    </row>
    <row r="119" spans="1:11" x14ac:dyDescent="0.2">
      <c r="A119" t="s">
        <v>4125</v>
      </c>
      <c r="B119" t="s">
        <v>4126</v>
      </c>
      <c r="C119" t="s">
        <v>4127</v>
      </c>
      <c r="D119" t="str">
        <f>"02130"</f>
        <v>02130</v>
      </c>
      <c r="E119" t="s">
        <v>3413</v>
      </c>
      <c r="F119" t="s">
        <v>4128</v>
      </c>
      <c r="G119" t="str">
        <f>"23.08.2005"</f>
        <v>23.08.2005</v>
      </c>
      <c r="H119" t="s">
        <v>4129</v>
      </c>
      <c r="I119" t="s">
        <v>4130</v>
      </c>
      <c r="J119" t="s">
        <v>4131</v>
      </c>
      <c r="K119" t="s">
        <v>3506</v>
      </c>
    </row>
    <row r="120" spans="1:11" x14ac:dyDescent="0.2">
      <c r="A120" t="s">
        <v>4132</v>
      </c>
      <c r="B120" t="s">
        <v>4133</v>
      </c>
      <c r="C120" t="s">
        <v>4134</v>
      </c>
      <c r="D120" t="str">
        <f>"60100"</f>
        <v>60100</v>
      </c>
      <c r="E120" t="s">
        <v>4135</v>
      </c>
      <c r="F120" t="s">
        <v>4136</v>
      </c>
      <c r="G120" t="str">
        <f>"24.04.2012"</f>
        <v>24.04.2012</v>
      </c>
      <c r="H120" t="s">
        <v>4137</v>
      </c>
      <c r="I120" t="s">
        <v>4138</v>
      </c>
      <c r="J120" t="s">
        <v>4139</v>
      </c>
      <c r="K120" t="s">
        <v>19</v>
      </c>
    </row>
    <row r="121" spans="1:11" x14ac:dyDescent="0.2">
      <c r="A121" t="s">
        <v>4140</v>
      </c>
      <c r="B121" t="s">
        <v>4141</v>
      </c>
      <c r="C121" t="s">
        <v>4142</v>
      </c>
      <c r="D121" t="str">
        <f>"40720"</f>
        <v>40720</v>
      </c>
      <c r="E121" t="s">
        <v>3464</v>
      </c>
      <c r="F121" t="s">
        <v>4143</v>
      </c>
      <c r="G121" t="str">
        <f>"30.04.1991"</f>
        <v>30.04.1991</v>
      </c>
      <c r="H121" t="s">
        <v>4144</v>
      </c>
      <c r="I121" t="s">
        <v>4145</v>
      </c>
      <c r="J121" t="s">
        <v>4146</v>
      </c>
      <c r="K121" t="s">
        <v>3460</v>
      </c>
    </row>
    <row r="122" spans="1:11" x14ac:dyDescent="0.2">
      <c r="A122" t="s">
        <v>4147</v>
      </c>
      <c r="B122" t="s">
        <v>4148</v>
      </c>
      <c r="C122" t="s">
        <v>4149</v>
      </c>
      <c r="D122" t="str">
        <f>"00100"</f>
        <v>00100</v>
      </c>
      <c r="E122" t="s">
        <v>3417</v>
      </c>
      <c r="F122" t="s">
        <v>4150</v>
      </c>
      <c r="G122" t="str">
        <f>"31.12.2014"</f>
        <v>31.12.2014</v>
      </c>
      <c r="H122" t="s">
        <v>4151</v>
      </c>
      <c r="I122" t="s">
        <v>4152</v>
      </c>
      <c r="J122" t="s">
        <v>4153</v>
      </c>
      <c r="K122" t="s">
        <v>4154</v>
      </c>
    </row>
    <row r="123" spans="1:11" x14ac:dyDescent="0.2">
      <c r="A123" t="s">
        <v>4155</v>
      </c>
      <c r="B123" t="s">
        <v>4156</v>
      </c>
      <c r="C123" t="s">
        <v>4157</v>
      </c>
      <c r="D123" t="str">
        <f>"90130"</f>
        <v>90130</v>
      </c>
      <c r="E123" t="s">
        <v>3972</v>
      </c>
      <c r="F123" t="s">
        <v>4158</v>
      </c>
      <c r="G123" t="str">
        <f>"29.08.2006"</f>
        <v>29.08.2006</v>
      </c>
      <c r="H123" t="s">
        <v>4159</v>
      </c>
      <c r="I123" t="s">
        <v>4160</v>
      </c>
      <c r="J123" t="s">
        <v>4161</v>
      </c>
      <c r="K123" t="s">
        <v>3460</v>
      </c>
    </row>
    <row r="124" spans="1:11" x14ac:dyDescent="0.2">
      <c r="A124" t="s">
        <v>4162</v>
      </c>
      <c r="B124" t="s">
        <v>4163</v>
      </c>
      <c r="C124" t="s">
        <v>4164</v>
      </c>
      <c r="D124" t="str">
        <f>"04200"</f>
        <v>04200</v>
      </c>
      <c r="E124" t="s">
        <v>3964</v>
      </c>
      <c r="F124" t="s">
        <v>4165</v>
      </c>
      <c r="G124" t="str">
        <f>"17.02.2003"</f>
        <v>17.02.2003</v>
      </c>
      <c r="H124" t="s">
        <v>4166</v>
      </c>
      <c r="I124" t="s">
        <v>4167</v>
      </c>
      <c r="J124" t="s">
        <v>4168</v>
      </c>
      <c r="K124" t="s">
        <v>3422</v>
      </c>
    </row>
    <row r="125" spans="1:11" x14ac:dyDescent="0.2">
      <c r="A125" t="s">
        <v>4169</v>
      </c>
      <c r="B125" t="s">
        <v>4170</v>
      </c>
      <c r="C125" t="s">
        <v>4171</v>
      </c>
      <c r="D125" t="str">
        <f>"00330"</f>
        <v>00330</v>
      </c>
      <c r="E125" t="s">
        <v>3417</v>
      </c>
      <c r="F125" t="s">
        <v>4172</v>
      </c>
      <c r="G125" t="str">
        <f>"02.04.2020"</f>
        <v>02.04.2020</v>
      </c>
      <c r="H125" t="s">
        <v>4173</v>
      </c>
      <c r="I125" t="s">
        <v>4174</v>
      </c>
      <c r="J125" t="s">
        <v>4175</v>
      </c>
      <c r="K125" t="s">
        <v>3460</v>
      </c>
    </row>
    <row r="126" spans="1:11" x14ac:dyDescent="0.2">
      <c r="A126" t="s">
        <v>4176</v>
      </c>
      <c r="B126" t="s">
        <v>4177</v>
      </c>
      <c r="C126" t="s">
        <v>3524</v>
      </c>
      <c r="D126" t="str">
        <f>"00180"</f>
        <v>00180</v>
      </c>
      <c r="E126" t="s">
        <v>3417</v>
      </c>
      <c r="F126" t="s">
        <v>4178</v>
      </c>
      <c r="G126" t="str">
        <f>"08.01.2018"</f>
        <v>08.01.2018</v>
      </c>
      <c r="H126" t="s">
        <v>4179</v>
      </c>
      <c r="I126" t="s">
        <v>4180</v>
      </c>
      <c r="J126" t="s">
        <v>4181</v>
      </c>
      <c r="K126" t="s">
        <v>19</v>
      </c>
    </row>
    <row r="127" spans="1:11" x14ac:dyDescent="0.2">
      <c r="A127" t="s">
        <v>4182</v>
      </c>
      <c r="B127" t="s">
        <v>4183</v>
      </c>
      <c r="C127" t="s">
        <v>4184</v>
      </c>
      <c r="D127" t="str">
        <f>"11910"</f>
        <v>11910</v>
      </c>
      <c r="E127" t="s">
        <v>4185</v>
      </c>
      <c r="F127" t="s">
        <v>4186</v>
      </c>
      <c r="G127" t="str">
        <f>"08.09.2003"</f>
        <v>08.09.2003</v>
      </c>
      <c r="H127" t="s">
        <v>4187</v>
      </c>
      <c r="I127" t="s">
        <v>4188</v>
      </c>
      <c r="J127" t="s">
        <v>4189</v>
      </c>
      <c r="K127" t="s">
        <v>19</v>
      </c>
    </row>
    <row r="128" spans="1:11" x14ac:dyDescent="0.2">
      <c r="A128" t="s">
        <v>4190</v>
      </c>
      <c r="B128" t="s">
        <v>4191</v>
      </c>
      <c r="C128" t="s">
        <v>4192</v>
      </c>
      <c r="D128" t="str">
        <f>"70500"</f>
        <v>70500</v>
      </c>
      <c r="E128" t="s">
        <v>3920</v>
      </c>
      <c r="F128" t="s">
        <v>4193</v>
      </c>
      <c r="G128" t="str">
        <f>"17.07.2020"</f>
        <v>17.07.2020</v>
      </c>
      <c r="H128" t="s">
        <v>4194</v>
      </c>
      <c r="I128" t="s">
        <v>4195</v>
      </c>
      <c r="J128" t="s">
        <v>4196</v>
      </c>
      <c r="K128" t="s">
        <v>3506</v>
      </c>
    </row>
    <row r="129" spans="1:11" x14ac:dyDescent="0.2">
      <c r="A129" t="s">
        <v>4197</v>
      </c>
      <c r="B129" t="s">
        <v>4198</v>
      </c>
      <c r="C129" t="s">
        <v>4199</v>
      </c>
      <c r="D129" t="str">
        <f>"00100"</f>
        <v>00100</v>
      </c>
      <c r="E129" t="s">
        <v>3417</v>
      </c>
      <c r="F129" t="s">
        <v>4200</v>
      </c>
      <c r="G129" t="str">
        <f>"10.04.2019"</f>
        <v>10.04.2019</v>
      </c>
      <c r="H129" t="s">
        <v>4201</v>
      </c>
      <c r="I129" t="s">
        <v>4202</v>
      </c>
      <c r="J129" t="s">
        <v>4203</v>
      </c>
      <c r="K129" t="s">
        <v>3460</v>
      </c>
    </row>
    <row r="130" spans="1:11" x14ac:dyDescent="0.2">
      <c r="A130" t="s">
        <v>4204</v>
      </c>
      <c r="B130" t="s">
        <v>4205</v>
      </c>
      <c r="C130" t="s">
        <v>4206</v>
      </c>
      <c r="D130" t="str">
        <f>"00580"</f>
        <v>00580</v>
      </c>
      <c r="E130" t="s">
        <v>3417</v>
      </c>
      <c r="F130" t="s">
        <v>4207</v>
      </c>
      <c r="G130" t="str">
        <f>"20.02.2014"</f>
        <v>20.02.2014</v>
      </c>
      <c r="H130" t="s">
        <v>4208</v>
      </c>
      <c r="I130" t="s">
        <v>4209</v>
      </c>
      <c r="J130" t="s">
        <v>4210</v>
      </c>
      <c r="K130" t="s">
        <v>3460</v>
      </c>
    </row>
    <row r="131" spans="1:11" x14ac:dyDescent="0.2">
      <c r="A131" t="s">
        <v>4211</v>
      </c>
      <c r="B131" t="s">
        <v>4212</v>
      </c>
      <c r="C131" t="s">
        <v>4213</v>
      </c>
      <c r="D131" t="str">
        <f>"90100"</f>
        <v>90100</v>
      </c>
      <c r="E131" t="s">
        <v>3972</v>
      </c>
      <c r="F131" t="s">
        <v>4214</v>
      </c>
      <c r="G131" t="str">
        <f>"15.05.2014"</f>
        <v>15.05.2014</v>
      </c>
      <c r="H131" t="s">
        <v>4215</v>
      </c>
      <c r="I131" t="s">
        <v>4216</v>
      </c>
      <c r="J131" t="s">
        <v>4217</v>
      </c>
      <c r="K131" t="s">
        <v>3826</v>
      </c>
    </row>
    <row r="132" spans="1:11" x14ac:dyDescent="0.2">
      <c r="A132" t="s">
        <v>4218</v>
      </c>
      <c r="B132" t="s">
        <v>4219</v>
      </c>
      <c r="C132" t="s">
        <v>4220</v>
      </c>
      <c r="D132" t="str">
        <f>"01620"</f>
        <v>01620</v>
      </c>
      <c r="E132" t="s">
        <v>3935</v>
      </c>
      <c r="F132" t="s">
        <v>4221</v>
      </c>
      <c r="G132" t="str">
        <f>"22.12.2009"</f>
        <v>22.12.2009</v>
      </c>
      <c r="H132" t="s">
        <v>4222</v>
      </c>
      <c r="I132" t="s">
        <v>4223</v>
      </c>
      <c r="J132" t="s">
        <v>4224</v>
      </c>
      <c r="K132" t="s">
        <v>19</v>
      </c>
    </row>
    <row r="133" spans="1:11" x14ac:dyDescent="0.2">
      <c r="A133" t="s">
        <v>4225</v>
      </c>
      <c r="B133" t="s">
        <v>4226</v>
      </c>
      <c r="C133" t="s">
        <v>4227</v>
      </c>
      <c r="D133" t="str">
        <f>"00180"</f>
        <v>00180</v>
      </c>
      <c r="E133" t="s">
        <v>3417</v>
      </c>
      <c r="F133" t="s">
        <v>4228</v>
      </c>
      <c r="G133" t="str">
        <f>"03.04.2017"</f>
        <v>03.04.2017</v>
      </c>
      <c r="H133" t="s">
        <v>4229</v>
      </c>
      <c r="I133" t="s">
        <v>4230</v>
      </c>
      <c r="J133" t="s">
        <v>4231</v>
      </c>
      <c r="K133" t="s">
        <v>3506</v>
      </c>
    </row>
    <row r="134" spans="1:11" x14ac:dyDescent="0.2">
      <c r="A134" t="s">
        <v>4232</v>
      </c>
      <c r="B134" t="s">
        <v>4233</v>
      </c>
      <c r="C134" t="s">
        <v>4234</v>
      </c>
      <c r="D134" t="str">
        <f>"00500"</f>
        <v>00500</v>
      </c>
      <c r="E134" t="s">
        <v>3417</v>
      </c>
      <c r="F134" t="s">
        <v>4235</v>
      </c>
      <c r="G134" t="str">
        <f>"16.11.2009"</f>
        <v>16.11.2009</v>
      </c>
      <c r="H134" t="s">
        <v>4236</v>
      </c>
      <c r="I134" t="s">
        <v>4237</v>
      </c>
      <c r="J134" t="s">
        <v>4238</v>
      </c>
    </row>
    <row r="135" spans="1:11" x14ac:dyDescent="0.2">
      <c r="A135" t="s">
        <v>4239</v>
      </c>
      <c r="B135" t="s">
        <v>4240</v>
      </c>
      <c r="C135" t="s">
        <v>4241</v>
      </c>
      <c r="D135" t="str">
        <f>"00500"</f>
        <v>00500</v>
      </c>
      <c r="E135" t="s">
        <v>3417</v>
      </c>
      <c r="F135" t="s">
        <v>4242</v>
      </c>
      <c r="G135" t="str">
        <f>"18.06.2018"</f>
        <v>18.06.2018</v>
      </c>
      <c r="H135" t="s">
        <v>4243</v>
      </c>
      <c r="I135" t="s">
        <v>4244</v>
      </c>
      <c r="J135" t="s">
        <v>4245</v>
      </c>
      <c r="K135" t="s">
        <v>3506</v>
      </c>
    </row>
    <row r="136" spans="1:11" x14ac:dyDescent="0.2">
      <c r="A136" t="s">
        <v>4246</v>
      </c>
      <c r="B136" t="s">
        <v>4247</v>
      </c>
      <c r="C136" t="s">
        <v>4248</v>
      </c>
      <c r="D136" t="str">
        <f>"00180"</f>
        <v>00180</v>
      </c>
      <c r="E136" t="s">
        <v>3417</v>
      </c>
      <c r="F136" t="s">
        <v>4249</v>
      </c>
      <c r="G136" t="str">
        <f>"19.04.2018"</f>
        <v>19.04.2018</v>
      </c>
      <c r="H136" t="s">
        <v>4250</v>
      </c>
      <c r="I136" t="s">
        <v>4251</v>
      </c>
      <c r="J136" t="s">
        <v>4252</v>
      </c>
      <c r="K136" t="s">
        <v>4253</v>
      </c>
    </row>
    <row r="137" spans="1:11" x14ac:dyDescent="0.2">
      <c r="A137" t="s">
        <v>4254</v>
      </c>
      <c r="B137" t="s">
        <v>4255</v>
      </c>
      <c r="C137" t="s">
        <v>4256</v>
      </c>
      <c r="D137" t="str">
        <f>"00100"</f>
        <v>00100</v>
      </c>
      <c r="E137" t="s">
        <v>3417</v>
      </c>
      <c r="F137" t="s">
        <v>4257</v>
      </c>
      <c r="G137" t="str">
        <f>"03.02.2012"</f>
        <v>03.02.2012</v>
      </c>
      <c r="H137" t="s">
        <v>4258</v>
      </c>
      <c r="I137" t="s">
        <v>4259</v>
      </c>
      <c r="J137" t="s">
        <v>4260</v>
      </c>
      <c r="K137" t="s">
        <v>19</v>
      </c>
    </row>
    <row r="138" spans="1:11" x14ac:dyDescent="0.2">
      <c r="A138" t="s">
        <v>7018</v>
      </c>
      <c r="B138" t="s">
        <v>7019</v>
      </c>
      <c r="C138" s="1" t="s">
        <v>3748</v>
      </c>
      <c r="D138" t="str">
        <f>"00180"</f>
        <v>00180</v>
      </c>
      <c r="E138" s="1" t="s">
        <v>3417</v>
      </c>
      <c r="F138" t="s">
        <v>7020</v>
      </c>
      <c r="G138" t="str">
        <f>"09.12.2013"</f>
        <v>09.12.2013</v>
      </c>
      <c r="H138" t="s">
        <v>7021</v>
      </c>
      <c r="I138" t="s">
        <v>7022</v>
      </c>
      <c r="J138" t="s">
        <v>7023</v>
      </c>
      <c r="K138" t="s">
        <v>3460</v>
      </c>
    </row>
    <row r="139" spans="1:11" x14ac:dyDescent="0.2">
      <c r="A139" t="s">
        <v>4261</v>
      </c>
      <c r="B139" t="s">
        <v>4262</v>
      </c>
      <c r="C139" t="s">
        <v>4263</v>
      </c>
      <c r="D139" t="str">
        <f>"90101"</f>
        <v>90101</v>
      </c>
      <c r="E139" t="s">
        <v>3972</v>
      </c>
      <c r="F139" t="s">
        <v>4264</v>
      </c>
      <c r="G139" t="str">
        <f>"18.07.2011"</f>
        <v>18.07.2011</v>
      </c>
      <c r="H139" t="s">
        <v>4265</v>
      </c>
      <c r="I139" t="s">
        <v>4266</v>
      </c>
      <c r="J139" t="s">
        <v>4267</v>
      </c>
      <c r="K139" t="s">
        <v>3460</v>
      </c>
    </row>
    <row r="140" spans="1:11" x14ac:dyDescent="0.2">
      <c r="A140" t="s">
        <v>4268</v>
      </c>
      <c r="B140" t="s">
        <v>4269</v>
      </c>
      <c r="C140" t="s">
        <v>4270</v>
      </c>
      <c r="D140" t="str">
        <f>"00100"</f>
        <v>00100</v>
      </c>
      <c r="E140" t="s">
        <v>3417</v>
      </c>
      <c r="F140" t="s">
        <v>4271</v>
      </c>
      <c r="G140" t="str">
        <f>"08.01.2010"</f>
        <v>08.01.2010</v>
      </c>
      <c r="H140" t="s">
        <v>4272</v>
      </c>
      <c r="I140" t="s">
        <v>4273</v>
      </c>
      <c r="J140" t="s">
        <v>4274</v>
      </c>
      <c r="K140" t="s">
        <v>3826</v>
      </c>
    </row>
    <row r="141" spans="1:11" x14ac:dyDescent="0.2">
      <c r="A141" t="s">
        <v>4275</v>
      </c>
      <c r="B141" t="s">
        <v>4276</v>
      </c>
      <c r="C141" t="s">
        <v>4277</v>
      </c>
      <c r="D141" t="str">
        <f>"00620"</f>
        <v>00620</v>
      </c>
      <c r="E141" t="s">
        <v>3417</v>
      </c>
      <c r="F141" t="s">
        <v>4278</v>
      </c>
      <c r="G141" t="str">
        <f>"16.09.2002"</f>
        <v>16.09.2002</v>
      </c>
      <c r="H141" t="s">
        <v>4279</v>
      </c>
      <c r="I141" t="s">
        <v>4280</v>
      </c>
      <c r="J141" t="s">
        <v>4281</v>
      </c>
      <c r="K141" t="s">
        <v>3826</v>
      </c>
    </row>
    <row r="142" spans="1:11" x14ac:dyDescent="0.2">
      <c r="A142" t="s">
        <v>4282</v>
      </c>
      <c r="B142" t="s">
        <v>4283</v>
      </c>
      <c r="C142" t="s">
        <v>4284</v>
      </c>
      <c r="D142" t="str">
        <f>"00880"</f>
        <v>00880</v>
      </c>
      <c r="E142" t="s">
        <v>3417</v>
      </c>
      <c r="F142" t="s">
        <v>4285</v>
      </c>
      <c r="G142" t="str">
        <f>"24.05.1996"</f>
        <v>24.05.1996</v>
      </c>
      <c r="H142" t="s">
        <v>4286</v>
      </c>
      <c r="I142" t="s">
        <v>4287</v>
      </c>
      <c r="J142" t="s">
        <v>4288</v>
      </c>
      <c r="K142" t="s">
        <v>19</v>
      </c>
    </row>
    <row r="143" spans="1:11" x14ac:dyDescent="0.2">
      <c r="A143" t="s">
        <v>4289</v>
      </c>
      <c r="B143" t="s">
        <v>4290</v>
      </c>
      <c r="C143" t="s">
        <v>4291</v>
      </c>
      <c r="D143" t="str">
        <f>"00580"</f>
        <v>00580</v>
      </c>
      <c r="E143" t="s">
        <v>3417</v>
      </c>
      <c r="F143" t="s">
        <v>4292</v>
      </c>
      <c r="G143" t="str">
        <f>"14.11.2016"</f>
        <v>14.11.2016</v>
      </c>
      <c r="H143" t="s">
        <v>4293</v>
      </c>
      <c r="I143" t="s">
        <v>4294</v>
      </c>
      <c r="J143" t="s">
        <v>4295</v>
      </c>
      <c r="K143" t="s">
        <v>19</v>
      </c>
    </row>
    <row r="144" spans="1:11" x14ac:dyDescent="0.2">
      <c r="A144" t="s">
        <v>4296</v>
      </c>
      <c r="B144" t="s">
        <v>4297</v>
      </c>
      <c r="C144" t="s">
        <v>4298</v>
      </c>
      <c r="D144" t="str">
        <f>"20100"</f>
        <v>20100</v>
      </c>
      <c r="E144" t="s">
        <v>3639</v>
      </c>
      <c r="F144" t="s">
        <v>4299</v>
      </c>
      <c r="G144" t="str">
        <f>"22.05.2007"</f>
        <v>22.05.2007</v>
      </c>
      <c r="H144" t="s">
        <v>4300</v>
      </c>
      <c r="I144" t="s">
        <v>4301</v>
      </c>
      <c r="J144" t="s">
        <v>4302</v>
      </c>
      <c r="K144" t="s">
        <v>4303</v>
      </c>
    </row>
    <row r="145" spans="1:11" x14ac:dyDescent="0.2">
      <c r="A145" t="s">
        <v>4304</v>
      </c>
      <c r="B145" t="s">
        <v>4305</v>
      </c>
      <c r="C145" t="s">
        <v>4306</v>
      </c>
      <c r="D145" t="str">
        <f>"33720"</f>
        <v>33720</v>
      </c>
      <c r="E145" t="s">
        <v>3546</v>
      </c>
      <c r="F145" t="s">
        <v>4307</v>
      </c>
      <c r="G145" t="str">
        <f>"03.02.1988"</f>
        <v>03.02.1988</v>
      </c>
      <c r="H145" t="s">
        <v>4308</v>
      </c>
      <c r="I145" t="s">
        <v>4309</v>
      </c>
      <c r="J145" t="s">
        <v>4310</v>
      </c>
      <c r="K145" t="s">
        <v>4311</v>
      </c>
    </row>
    <row r="146" spans="1:11" x14ac:dyDescent="0.2">
      <c r="A146" t="s">
        <v>4312</v>
      </c>
      <c r="B146" t="s">
        <v>4313</v>
      </c>
      <c r="C146" t="s">
        <v>4314</v>
      </c>
      <c r="D146" t="str">
        <f>"03100"</f>
        <v>03100</v>
      </c>
      <c r="E146" t="s">
        <v>4315</v>
      </c>
      <c r="F146" t="s">
        <v>4316</v>
      </c>
      <c r="G146" t="str">
        <f>"09.08.1995"</f>
        <v>09.08.1995</v>
      </c>
      <c r="H146" t="s">
        <v>4317</v>
      </c>
      <c r="I146" t="s">
        <v>4318</v>
      </c>
      <c r="J146" t="s">
        <v>4319</v>
      </c>
      <c r="K146" t="s">
        <v>19</v>
      </c>
    </row>
    <row r="147" spans="1:11" x14ac:dyDescent="0.2">
      <c r="A147" t="s">
        <v>4320</v>
      </c>
      <c r="B147" t="s">
        <v>4321</v>
      </c>
      <c r="C147" t="s">
        <v>4322</v>
      </c>
      <c r="D147" t="str">
        <f>"00100"</f>
        <v>00100</v>
      </c>
      <c r="E147" t="s">
        <v>3417</v>
      </c>
      <c r="F147" t="s">
        <v>4323</v>
      </c>
      <c r="G147" t="str">
        <f>"24.03.2011"</f>
        <v>24.03.2011</v>
      </c>
      <c r="H147" t="s">
        <v>4324</v>
      </c>
      <c r="I147" t="s">
        <v>4325</v>
      </c>
      <c r="J147" t="s">
        <v>4326</v>
      </c>
      <c r="K147" t="s">
        <v>19</v>
      </c>
    </row>
    <row r="148" spans="1:11" x14ac:dyDescent="0.2">
      <c r="A148" t="s">
        <v>4327</v>
      </c>
      <c r="B148" t="s">
        <v>4328</v>
      </c>
      <c r="C148" t="s">
        <v>4329</v>
      </c>
      <c r="D148" t="str">
        <f>"21500"</f>
        <v>21500</v>
      </c>
      <c r="E148" t="s">
        <v>4330</v>
      </c>
      <c r="F148" t="s">
        <v>4331</v>
      </c>
      <c r="G148" t="str">
        <f>"11.05.2012"</f>
        <v>11.05.2012</v>
      </c>
      <c r="H148" t="s">
        <v>4332</v>
      </c>
      <c r="I148" t="s">
        <v>4333</v>
      </c>
      <c r="J148" t="s">
        <v>4334</v>
      </c>
      <c r="K148" t="s">
        <v>3460</v>
      </c>
    </row>
    <row r="149" spans="1:11" x14ac:dyDescent="0.2">
      <c r="A149" t="s">
        <v>4335</v>
      </c>
      <c r="B149" t="s">
        <v>4336</v>
      </c>
      <c r="C149" t="s">
        <v>4192</v>
      </c>
      <c r="D149" t="str">
        <f>"70500"</f>
        <v>70500</v>
      </c>
      <c r="E149" t="s">
        <v>3920</v>
      </c>
      <c r="F149" t="s">
        <v>4193</v>
      </c>
      <c r="G149" t="str">
        <f>"07.11.2003"</f>
        <v>07.11.2003</v>
      </c>
      <c r="H149" t="s">
        <v>4337</v>
      </c>
      <c r="I149" t="s">
        <v>4338</v>
      </c>
      <c r="J149" t="s">
        <v>4339</v>
      </c>
      <c r="K149" t="s">
        <v>3506</v>
      </c>
    </row>
    <row r="150" spans="1:11" x14ac:dyDescent="0.2">
      <c r="A150" t="s">
        <v>4340</v>
      </c>
      <c r="B150" t="s">
        <v>4341</v>
      </c>
      <c r="C150" t="s">
        <v>3677</v>
      </c>
      <c r="D150" t="str">
        <f>"00101"</f>
        <v>00101</v>
      </c>
      <c r="E150" t="s">
        <v>3417</v>
      </c>
      <c r="F150" t="s">
        <v>4342</v>
      </c>
      <c r="G150" t="str">
        <f>"24.10.2017"</f>
        <v>24.10.2017</v>
      </c>
      <c r="H150" t="s">
        <v>4343</v>
      </c>
      <c r="I150" t="s">
        <v>4344</v>
      </c>
      <c r="J150" t="s">
        <v>4345</v>
      </c>
      <c r="K150" t="s">
        <v>19</v>
      </c>
    </row>
    <row r="151" spans="1:11" x14ac:dyDescent="0.2">
      <c r="A151" t="s">
        <v>4346</v>
      </c>
      <c r="B151" t="s">
        <v>4347</v>
      </c>
      <c r="C151" t="s">
        <v>4348</v>
      </c>
      <c r="D151" t="str">
        <f>"00101"</f>
        <v>00101</v>
      </c>
      <c r="E151" t="s">
        <v>3417</v>
      </c>
      <c r="F151" t="s">
        <v>4349</v>
      </c>
      <c r="G151" t="str">
        <f>"04.10.2011"</f>
        <v>04.10.2011</v>
      </c>
      <c r="H151" t="s">
        <v>4350</v>
      </c>
      <c r="I151" t="s">
        <v>4351</v>
      </c>
      <c r="J151" t="s">
        <v>4352</v>
      </c>
      <c r="K151" t="s">
        <v>4353</v>
      </c>
    </row>
    <row r="152" spans="1:11" x14ac:dyDescent="0.2">
      <c r="A152" t="s">
        <v>4354</v>
      </c>
      <c r="B152" t="s">
        <v>4355</v>
      </c>
      <c r="C152" t="s">
        <v>4356</v>
      </c>
      <c r="D152" t="str">
        <f>"40100"</f>
        <v>40100</v>
      </c>
      <c r="E152" t="s">
        <v>3464</v>
      </c>
      <c r="F152" t="s">
        <v>4357</v>
      </c>
      <c r="G152" t="str">
        <f>"25.06.2012"</f>
        <v>25.06.2012</v>
      </c>
      <c r="H152" t="s">
        <v>4358</v>
      </c>
      <c r="I152" t="s">
        <v>4359</v>
      </c>
      <c r="J152" t="s">
        <v>4360</v>
      </c>
      <c r="K152" t="s">
        <v>19</v>
      </c>
    </row>
    <row r="153" spans="1:11" x14ac:dyDescent="0.2">
      <c r="A153" t="s">
        <v>4361</v>
      </c>
      <c r="B153" t="s">
        <v>4362</v>
      </c>
      <c r="C153" t="s">
        <v>4363</v>
      </c>
      <c r="D153" t="str">
        <f>"00830"</f>
        <v>00830</v>
      </c>
      <c r="E153" t="s">
        <v>3417</v>
      </c>
      <c r="F153" t="s">
        <v>4364</v>
      </c>
      <c r="G153" t="str">
        <f>"21.03.2003"</f>
        <v>21.03.2003</v>
      </c>
      <c r="H153" t="s">
        <v>4365</v>
      </c>
      <c r="I153" t="s">
        <v>4366</v>
      </c>
      <c r="J153" t="s">
        <v>4367</v>
      </c>
      <c r="K153" t="s">
        <v>3460</v>
      </c>
    </row>
    <row r="154" spans="1:11" x14ac:dyDescent="0.2">
      <c r="A154" t="s">
        <v>4368</v>
      </c>
      <c r="B154" t="s">
        <v>4369</v>
      </c>
      <c r="C154" t="s">
        <v>4370</v>
      </c>
      <c r="D154" t="str">
        <f>"00520"</f>
        <v>00520</v>
      </c>
      <c r="E154" t="s">
        <v>3417</v>
      </c>
      <c r="F154" t="s">
        <v>4371</v>
      </c>
      <c r="G154" t="str">
        <f>"14.01.2011"</f>
        <v>14.01.2011</v>
      </c>
      <c r="H154" t="s">
        <v>4372</v>
      </c>
      <c r="I154" t="s">
        <v>4373</v>
      </c>
      <c r="J154" t="s">
        <v>4374</v>
      </c>
      <c r="K154" t="s">
        <v>443</v>
      </c>
    </row>
    <row r="155" spans="1:11" x14ac:dyDescent="0.2">
      <c r="A155" t="s">
        <v>4375</v>
      </c>
      <c r="B155" t="s">
        <v>4376</v>
      </c>
      <c r="C155" t="s">
        <v>4377</v>
      </c>
      <c r="D155" t="str">
        <f>"02240"</f>
        <v>02240</v>
      </c>
      <c r="E155" t="s">
        <v>3413</v>
      </c>
      <c r="F155" t="s">
        <v>4378</v>
      </c>
      <c r="G155" t="str">
        <f>"25.11.2015"</f>
        <v>25.11.2015</v>
      </c>
      <c r="H155" t="s">
        <v>4379</v>
      </c>
      <c r="I155" t="s">
        <v>4380</v>
      </c>
      <c r="J155" t="s">
        <v>4381</v>
      </c>
      <c r="K155" t="s">
        <v>3460</v>
      </c>
    </row>
    <row r="156" spans="1:11" x14ac:dyDescent="0.2">
      <c r="A156" t="s">
        <v>4382</v>
      </c>
      <c r="B156" t="s">
        <v>4383</v>
      </c>
      <c r="C156" t="s">
        <v>4384</v>
      </c>
      <c r="D156" t="str">
        <f>"53850"</f>
        <v>53850</v>
      </c>
      <c r="E156" t="s">
        <v>4385</v>
      </c>
      <c r="F156" t="s">
        <v>4386</v>
      </c>
      <c r="G156" t="str">
        <f>"09.05.2006"</f>
        <v>09.05.2006</v>
      </c>
      <c r="H156" t="s">
        <v>4387</v>
      </c>
      <c r="I156" t="s">
        <v>4388</v>
      </c>
      <c r="J156" t="s">
        <v>4389</v>
      </c>
      <c r="K156" t="s">
        <v>4390</v>
      </c>
    </row>
    <row r="157" spans="1:11" x14ac:dyDescent="0.2">
      <c r="A157" t="s">
        <v>4391</v>
      </c>
      <c r="B157" t="s">
        <v>4392</v>
      </c>
      <c r="C157" t="s">
        <v>4393</v>
      </c>
      <c r="D157" t="str">
        <f>"00520"</f>
        <v>00520</v>
      </c>
      <c r="E157" t="s">
        <v>3417</v>
      </c>
      <c r="F157" t="s">
        <v>4394</v>
      </c>
      <c r="G157" t="str">
        <f>"24.09.2010"</f>
        <v>24.09.2010</v>
      </c>
      <c r="H157" t="s">
        <v>4395</v>
      </c>
      <c r="I157" t="s">
        <v>4396</v>
      </c>
      <c r="J157" t="s">
        <v>4397</v>
      </c>
      <c r="K157" t="s">
        <v>3506</v>
      </c>
    </row>
    <row r="158" spans="1:11" x14ac:dyDescent="0.2">
      <c r="A158" t="s">
        <v>4398</v>
      </c>
      <c r="B158" t="s">
        <v>4399</v>
      </c>
      <c r="C158" t="s">
        <v>4400</v>
      </c>
      <c r="D158" t="str">
        <f>"67100"</f>
        <v>67100</v>
      </c>
      <c r="E158" t="s">
        <v>4401</v>
      </c>
      <c r="F158" t="s">
        <v>4402</v>
      </c>
      <c r="G158" t="str">
        <f>"26.01.2016"</f>
        <v>26.01.2016</v>
      </c>
      <c r="H158" t="s">
        <v>4403</v>
      </c>
      <c r="I158" t="s">
        <v>4404</v>
      </c>
      <c r="J158" t="s">
        <v>4405</v>
      </c>
      <c r="K158" t="s">
        <v>3460</v>
      </c>
    </row>
    <row r="159" spans="1:11" x14ac:dyDescent="0.2">
      <c r="A159" t="s">
        <v>4406</v>
      </c>
      <c r="B159" t="s">
        <v>4407</v>
      </c>
      <c r="C159" t="s">
        <v>4408</v>
      </c>
      <c r="D159" t="str">
        <f>"00510"</f>
        <v>00510</v>
      </c>
      <c r="E159" t="s">
        <v>3417</v>
      </c>
      <c r="F159" t="s">
        <v>4409</v>
      </c>
      <c r="G159" t="str">
        <f>"14.11.2001"</f>
        <v>14.11.2001</v>
      </c>
      <c r="H159" t="s">
        <v>4410</v>
      </c>
      <c r="I159" t="s">
        <v>4411</v>
      </c>
      <c r="J159" t="s">
        <v>4412</v>
      </c>
      <c r="K159" t="s">
        <v>3460</v>
      </c>
    </row>
    <row r="160" spans="1:11" x14ac:dyDescent="0.2">
      <c r="A160" t="s">
        <v>4413</v>
      </c>
      <c r="B160" t="s">
        <v>4414</v>
      </c>
      <c r="C160" t="s">
        <v>4234</v>
      </c>
      <c r="D160" t="str">
        <f>"00500"</f>
        <v>00500</v>
      </c>
      <c r="E160" t="s">
        <v>3417</v>
      </c>
      <c r="F160" t="s">
        <v>4415</v>
      </c>
      <c r="G160" t="str">
        <f>"11.12.2009"</f>
        <v>11.12.2009</v>
      </c>
      <c r="H160" t="s">
        <v>4416</v>
      </c>
      <c r="I160" t="s">
        <v>4417</v>
      </c>
      <c r="J160" t="s">
        <v>4418</v>
      </c>
      <c r="K160" t="s">
        <v>19</v>
      </c>
    </row>
    <row r="161" spans="1:11" x14ac:dyDescent="0.2">
      <c r="A161" t="s">
        <v>4419</v>
      </c>
      <c r="B161" t="s">
        <v>4420</v>
      </c>
      <c r="C161" t="s">
        <v>4421</v>
      </c>
      <c r="D161" t="str">
        <f>"70460"</f>
        <v>70460</v>
      </c>
      <c r="E161" t="s">
        <v>3920</v>
      </c>
      <c r="F161" t="s">
        <v>4422</v>
      </c>
      <c r="G161" t="str">
        <f>"17.04.2020"</f>
        <v>17.04.2020</v>
      </c>
      <c r="H161" t="s">
        <v>4423</v>
      </c>
      <c r="I161" t="s">
        <v>4424</v>
      </c>
      <c r="J161" t="s">
        <v>4425</v>
      </c>
      <c r="K161" t="s">
        <v>3460</v>
      </c>
    </row>
    <row r="162" spans="1:11" x14ac:dyDescent="0.2">
      <c r="A162" t="s">
        <v>4426</v>
      </c>
      <c r="B162" t="s">
        <v>4427</v>
      </c>
      <c r="C162" t="s">
        <v>4428</v>
      </c>
      <c r="D162" t="str">
        <f>"02600"</f>
        <v>02600</v>
      </c>
      <c r="E162" t="s">
        <v>3413</v>
      </c>
      <c r="F162" t="s">
        <v>4429</v>
      </c>
      <c r="G162" t="str">
        <f>"21.09.2000"</f>
        <v>21.09.2000</v>
      </c>
      <c r="H162" t="s">
        <v>3548</v>
      </c>
      <c r="I162" t="s">
        <v>4430</v>
      </c>
      <c r="J162" t="s">
        <v>4431</v>
      </c>
      <c r="K162" t="s">
        <v>3460</v>
      </c>
    </row>
    <row r="163" spans="1:11" x14ac:dyDescent="0.2">
      <c r="A163" t="s">
        <v>4432</v>
      </c>
      <c r="B163" t="s">
        <v>4433</v>
      </c>
      <c r="C163" t="s">
        <v>4434</v>
      </c>
      <c r="D163" t="str">
        <f>"00240"</f>
        <v>00240</v>
      </c>
      <c r="E163" t="s">
        <v>3417</v>
      </c>
      <c r="F163" t="s">
        <v>4435</v>
      </c>
      <c r="G163" t="str">
        <f>"20.03.2007"</f>
        <v>20.03.2007</v>
      </c>
      <c r="H163" t="s">
        <v>4436</v>
      </c>
      <c r="I163" t="s">
        <v>4437</v>
      </c>
      <c r="J163" t="s">
        <v>4438</v>
      </c>
      <c r="K163" t="s">
        <v>3460</v>
      </c>
    </row>
    <row r="164" spans="1:11" x14ac:dyDescent="0.2">
      <c r="A164" t="s">
        <v>4439</v>
      </c>
      <c r="B164" t="s">
        <v>4440</v>
      </c>
      <c r="C164" t="s">
        <v>4441</v>
      </c>
      <c r="D164" t="str">
        <f>"40100"</f>
        <v>40100</v>
      </c>
      <c r="E164" t="s">
        <v>3464</v>
      </c>
      <c r="F164" t="s">
        <v>4442</v>
      </c>
      <c r="G164" t="str">
        <f>"20.08.2013"</f>
        <v>20.08.2013</v>
      </c>
      <c r="H164" t="s">
        <v>4443</v>
      </c>
      <c r="I164" t="s">
        <v>4444</v>
      </c>
      <c r="J164" t="s">
        <v>4445</v>
      </c>
      <c r="K164" t="s">
        <v>3460</v>
      </c>
    </row>
    <row r="165" spans="1:11" x14ac:dyDescent="0.2">
      <c r="A165" t="s">
        <v>4446</v>
      </c>
      <c r="B165" t="s">
        <v>4447</v>
      </c>
      <c r="C165" t="s">
        <v>4448</v>
      </c>
      <c r="D165" t="str">
        <f>"02600"</f>
        <v>02600</v>
      </c>
      <c r="E165" t="s">
        <v>3413</v>
      </c>
      <c r="F165" t="s">
        <v>4449</v>
      </c>
      <c r="G165" t="str">
        <f>"03.10.2017"</f>
        <v>03.10.2017</v>
      </c>
      <c r="H165" t="s">
        <v>4450</v>
      </c>
      <c r="I165" t="s">
        <v>4451</v>
      </c>
      <c r="J165" t="s">
        <v>4452</v>
      </c>
      <c r="K165" t="s">
        <v>443</v>
      </c>
    </row>
    <row r="166" spans="1:11" x14ac:dyDescent="0.2">
      <c r="A166" t="s">
        <v>4453</v>
      </c>
      <c r="B166" t="s">
        <v>4454</v>
      </c>
      <c r="C166" t="s">
        <v>4455</v>
      </c>
      <c r="D166" t="str">
        <f>"00210"</f>
        <v>00210</v>
      </c>
      <c r="E166" t="s">
        <v>3417</v>
      </c>
      <c r="F166" t="s">
        <v>4456</v>
      </c>
      <c r="G166" t="str">
        <f>"20.06.1983"</f>
        <v>20.06.1983</v>
      </c>
      <c r="H166" t="s">
        <v>4457</v>
      </c>
      <c r="I166" t="s">
        <v>4458</v>
      </c>
      <c r="J166" t="s">
        <v>4459</v>
      </c>
      <c r="K166" t="s">
        <v>3460</v>
      </c>
    </row>
    <row r="167" spans="1:11" x14ac:dyDescent="0.2">
      <c r="A167" t="s">
        <v>4460</v>
      </c>
      <c r="B167" t="s">
        <v>4461</v>
      </c>
      <c r="C167" t="s">
        <v>4462</v>
      </c>
      <c r="D167" t="str">
        <f>"02600"</f>
        <v>02600</v>
      </c>
      <c r="E167" t="s">
        <v>3413</v>
      </c>
      <c r="F167" t="s">
        <v>4463</v>
      </c>
      <c r="G167" t="str">
        <f>"30.09.2010"</f>
        <v>30.09.2010</v>
      </c>
      <c r="H167" t="s">
        <v>3737</v>
      </c>
      <c r="I167" t="s">
        <v>4464</v>
      </c>
      <c r="J167" t="s">
        <v>4465</v>
      </c>
      <c r="K167" t="s">
        <v>4466</v>
      </c>
    </row>
    <row r="168" spans="1:11" x14ac:dyDescent="0.2">
      <c r="A168" t="s">
        <v>4467</v>
      </c>
      <c r="B168" t="s">
        <v>4468</v>
      </c>
      <c r="C168" t="s">
        <v>4469</v>
      </c>
      <c r="D168" t="str">
        <f>"02150"</f>
        <v>02150</v>
      </c>
      <c r="E168" t="s">
        <v>3413</v>
      </c>
      <c r="F168" t="s">
        <v>4470</v>
      </c>
      <c r="G168" t="str">
        <f>"26.11.2013"</f>
        <v>26.11.2013</v>
      </c>
      <c r="H168" t="s">
        <v>4471</v>
      </c>
      <c r="I168" t="s">
        <v>4472</v>
      </c>
      <c r="J168" t="s">
        <v>4473</v>
      </c>
      <c r="K168" t="s">
        <v>19</v>
      </c>
    </row>
    <row r="169" spans="1:11" x14ac:dyDescent="0.2">
      <c r="A169" t="s">
        <v>4474</v>
      </c>
      <c r="B169" t="s">
        <v>4475</v>
      </c>
      <c r="C169" t="s">
        <v>4434</v>
      </c>
      <c r="D169" t="str">
        <f>"00240"</f>
        <v>00240</v>
      </c>
      <c r="E169" t="s">
        <v>3417</v>
      </c>
      <c r="F169" t="s">
        <v>4476</v>
      </c>
      <c r="G169" t="str">
        <f>"10.03.2020"</f>
        <v>10.03.2020</v>
      </c>
      <c r="H169" t="s">
        <v>4477</v>
      </c>
      <c r="I169" t="s">
        <v>4478</v>
      </c>
      <c r="J169" t="s">
        <v>4479</v>
      </c>
      <c r="K169" t="s">
        <v>4480</v>
      </c>
    </row>
    <row r="170" spans="1:11" x14ac:dyDescent="0.2">
      <c r="A170" t="s">
        <v>4481</v>
      </c>
      <c r="B170" t="s">
        <v>4482</v>
      </c>
      <c r="C170" t="s">
        <v>4483</v>
      </c>
      <c r="D170" t="str">
        <f>"02600"</f>
        <v>02600</v>
      </c>
      <c r="E170" t="s">
        <v>3413</v>
      </c>
      <c r="F170" t="s">
        <v>4484</v>
      </c>
      <c r="G170" t="str">
        <f>"27.11.2013"</f>
        <v>27.11.2013</v>
      </c>
      <c r="H170" t="s">
        <v>4485</v>
      </c>
      <c r="I170" t="s">
        <v>4486</v>
      </c>
      <c r="J170" t="s">
        <v>4487</v>
      </c>
      <c r="K170" t="s">
        <v>3460</v>
      </c>
    </row>
    <row r="171" spans="1:11" x14ac:dyDescent="0.2">
      <c r="A171" t="s">
        <v>4488</v>
      </c>
      <c r="B171" t="s">
        <v>4489</v>
      </c>
      <c r="C171" t="s">
        <v>4490</v>
      </c>
      <c r="D171" t="str">
        <f>"20500"</f>
        <v>20500</v>
      </c>
      <c r="E171" t="s">
        <v>3639</v>
      </c>
      <c r="F171" t="s">
        <v>4491</v>
      </c>
      <c r="G171" t="str">
        <f>"22.07.2015"</f>
        <v>22.07.2015</v>
      </c>
      <c r="H171" t="s">
        <v>4492</v>
      </c>
      <c r="I171" t="s">
        <v>4493</v>
      </c>
      <c r="J171" t="s">
        <v>4494</v>
      </c>
      <c r="K171" t="s">
        <v>3460</v>
      </c>
    </row>
    <row r="172" spans="1:11" x14ac:dyDescent="0.2">
      <c r="A172" t="s">
        <v>4495</v>
      </c>
      <c r="B172" t="s">
        <v>4496</v>
      </c>
      <c r="C172" t="s">
        <v>4497</v>
      </c>
      <c r="D172" t="str">
        <f>"21260"</f>
        <v>21260</v>
      </c>
      <c r="E172" t="s">
        <v>4498</v>
      </c>
      <c r="F172" t="s">
        <v>4499</v>
      </c>
      <c r="G172" t="str">
        <f>"18.09.2017"</f>
        <v>18.09.2017</v>
      </c>
      <c r="H172" t="s">
        <v>4500</v>
      </c>
      <c r="I172" t="s">
        <v>4501</v>
      </c>
      <c r="J172" t="s">
        <v>4502</v>
      </c>
      <c r="K172" t="s">
        <v>19</v>
      </c>
    </row>
    <row r="173" spans="1:11" x14ac:dyDescent="0.2">
      <c r="A173" t="s">
        <v>4503</v>
      </c>
      <c r="B173" t="s">
        <v>4504</v>
      </c>
      <c r="C173" t="s">
        <v>4505</v>
      </c>
      <c r="D173" t="str">
        <f>"01510"</f>
        <v>01510</v>
      </c>
      <c r="E173" t="s">
        <v>3935</v>
      </c>
      <c r="F173" t="s">
        <v>4506</v>
      </c>
      <c r="G173" t="str">
        <f>"31.01.2018"</f>
        <v>31.01.2018</v>
      </c>
      <c r="H173" t="s">
        <v>4507</v>
      </c>
      <c r="I173" t="s">
        <v>4508</v>
      </c>
      <c r="J173" t="s">
        <v>4509</v>
      </c>
      <c r="K173" t="s">
        <v>3460</v>
      </c>
    </row>
    <row r="174" spans="1:11" x14ac:dyDescent="0.2">
      <c r="A174" t="s">
        <v>4510</v>
      </c>
      <c r="B174" t="s">
        <v>4511</v>
      </c>
      <c r="C174" t="s">
        <v>3677</v>
      </c>
      <c r="D174" t="str">
        <f>"00101"</f>
        <v>00101</v>
      </c>
      <c r="E174" t="s">
        <v>3417</v>
      </c>
      <c r="F174" t="s">
        <v>4512</v>
      </c>
      <c r="G174" t="str">
        <f>"01.03.2018"</f>
        <v>01.03.2018</v>
      </c>
      <c r="H174" t="s">
        <v>4513</v>
      </c>
      <c r="I174" t="s">
        <v>4514</v>
      </c>
      <c r="J174" t="s">
        <v>4515</v>
      </c>
      <c r="K174" t="s">
        <v>4516</v>
      </c>
    </row>
    <row r="175" spans="1:11" x14ac:dyDescent="0.2">
      <c r="A175" t="s">
        <v>4517</v>
      </c>
      <c r="B175" t="s">
        <v>4518</v>
      </c>
      <c r="C175" t="s">
        <v>4234</v>
      </c>
      <c r="D175" t="str">
        <f>"00500"</f>
        <v>00500</v>
      </c>
      <c r="E175" t="s">
        <v>3417</v>
      </c>
      <c r="F175" t="s">
        <v>4519</v>
      </c>
      <c r="G175" t="str">
        <f>"28.09.2006"</f>
        <v>28.09.2006</v>
      </c>
      <c r="H175" t="s">
        <v>4520</v>
      </c>
      <c r="I175" t="s">
        <v>4521</v>
      </c>
      <c r="J175" t="s">
        <v>4522</v>
      </c>
      <c r="K175" t="s">
        <v>3460</v>
      </c>
    </row>
    <row r="176" spans="1:11" x14ac:dyDescent="0.2">
      <c r="A176" t="s">
        <v>4523</v>
      </c>
      <c r="B176" t="s">
        <v>4524</v>
      </c>
      <c r="C176" t="s">
        <v>3524</v>
      </c>
      <c r="D176" t="str">
        <f>"00180"</f>
        <v>00180</v>
      </c>
      <c r="E176" t="s">
        <v>3417</v>
      </c>
      <c r="F176" t="s">
        <v>4525</v>
      </c>
      <c r="G176" t="str">
        <f>"18.12.2015"</f>
        <v>18.12.2015</v>
      </c>
      <c r="H176" t="s">
        <v>4526</v>
      </c>
      <c r="I176" t="s">
        <v>4527</v>
      </c>
      <c r="J176" t="s">
        <v>4528</v>
      </c>
      <c r="K176" t="s">
        <v>3460</v>
      </c>
    </row>
    <row r="177" spans="1:11" x14ac:dyDescent="0.2">
      <c r="A177" t="s">
        <v>4529</v>
      </c>
      <c r="B177" t="s">
        <v>4530</v>
      </c>
      <c r="C177" t="s">
        <v>4531</v>
      </c>
      <c r="D177" t="str">
        <f>"00500"</f>
        <v>00500</v>
      </c>
      <c r="E177" t="s">
        <v>3417</v>
      </c>
      <c r="F177" t="s">
        <v>4532</v>
      </c>
      <c r="G177" t="str">
        <f>"15.01.2016"</f>
        <v>15.01.2016</v>
      </c>
      <c r="H177" t="s">
        <v>4533</v>
      </c>
      <c r="I177" t="s">
        <v>4534</v>
      </c>
      <c r="J177" t="s">
        <v>4535</v>
      </c>
      <c r="K177" t="s">
        <v>3460</v>
      </c>
    </row>
    <row r="178" spans="1:11" x14ac:dyDescent="0.2">
      <c r="A178" t="s">
        <v>4536</v>
      </c>
      <c r="B178" t="s">
        <v>4537</v>
      </c>
      <c r="C178" t="s">
        <v>4099</v>
      </c>
      <c r="D178" t="str">
        <f>"00180"</f>
        <v>00180</v>
      </c>
      <c r="E178" t="s">
        <v>3417</v>
      </c>
      <c r="F178" t="s">
        <v>4538</v>
      </c>
      <c r="G178" t="str">
        <f>"07.08.2015"</f>
        <v>07.08.2015</v>
      </c>
      <c r="H178" t="s">
        <v>4539</v>
      </c>
      <c r="I178" t="s">
        <v>4540</v>
      </c>
      <c r="J178" t="s">
        <v>4541</v>
      </c>
      <c r="K178" t="s">
        <v>19</v>
      </c>
    </row>
    <row r="179" spans="1:11" x14ac:dyDescent="0.2">
      <c r="A179" t="s">
        <v>4542</v>
      </c>
      <c r="B179" t="s">
        <v>4543</v>
      </c>
      <c r="C179" t="s">
        <v>4544</v>
      </c>
      <c r="D179" t="str">
        <f>"01510"</f>
        <v>01510</v>
      </c>
      <c r="E179" t="s">
        <v>3935</v>
      </c>
      <c r="F179" t="s">
        <v>4545</v>
      </c>
      <c r="G179" t="str">
        <f>"27.08.2009"</f>
        <v>27.08.2009</v>
      </c>
      <c r="H179" t="s">
        <v>4546</v>
      </c>
      <c r="I179" t="s">
        <v>4547</v>
      </c>
      <c r="J179" t="s">
        <v>4548</v>
      </c>
      <c r="K179" t="s">
        <v>4549</v>
      </c>
    </row>
    <row r="180" spans="1:11" x14ac:dyDescent="0.2">
      <c r="A180" t="s">
        <v>4550</v>
      </c>
      <c r="B180" t="s">
        <v>4551</v>
      </c>
      <c r="C180" t="s">
        <v>4552</v>
      </c>
      <c r="D180" t="str">
        <f>"33100"</f>
        <v>33100</v>
      </c>
      <c r="E180" t="s">
        <v>3546</v>
      </c>
      <c r="F180" t="s">
        <v>4553</v>
      </c>
      <c r="G180" t="str">
        <f>"24.01.2017"</f>
        <v>24.01.2017</v>
      </c>
      <c r="H180" t="s">
        <v>4554</v>
      </c>
      <c r="I180" t="s">
        <v>4555</v>
      </c>
      <c r="J180" t="s">
        <v>4556</v>
      </c>
      <c r="K180" t="s">
        <v>4557</v>
      </c>
    </row>
    <row r="181" spans="1:11" x14ac:dyDescent="0.2">
      <c r="A181" t="s">
        <v>4558</v>
      </c>
      <c r="B181" t="s">
        <v>4559</v>
      </c>
      <c r="C181" t="s">
        <v>4560</v>
      </c>
      <c r="D181" t="str">
        <f>"00180"</f>
        <v>00180</v>
      </c>
      <c r="E181" t="s">
        <v>3417</v>
      </c>
      <c r="F181" t="s">
        <v>4561</v>
      </c>
      <c r="G181" t="str">
        <f>"08.08.2014"</f>
        <v>08.08.2014</v>
      </c>
      <c r="H181" t="s">
        <v>4562</v>
      </c>
      <c r="I181" t="s">
        <v>4563</v>
      </c>
      <c r="J181" t="s">
        <v>4564</v>
      </c>
      <c r="K181" t="s">
        <v>3644</v>
      </c>
    </row>
    <row r="182" spans="1:11" x14ac:dyDescent="0.2">
      <c r="A182" t="s">
        <v>4565</v>
      </c>
      <c r="B182" t="s">
        <v>4566</v>
      </c>
      <c r="C182" t="s">
        <v>4567</v>
      </c>
      <c r="D182" t="str">
        <f>"02600"</f>
        <v>02600</v>
      </c>
      <c r="E182" t="s">
        <v>3413</v>
      </c>
      <c r="F182" t="s">
        <v>2860</v>
      </c>
      <c r="G182" t="str">
        <f>"29.03.2018"</f>
        <v>29.03.2018</v>
      </c>
      <c r="H182" t="s">
        <v>4568</v>
      </c>
      <c r="I182" t="s">
        <v>4569</v>
      </c>
      <c r="J182" t="s">
        <v>4570</v>
      </c>
      <c r="K182" t="s">
        <v>4571</v>
      </c>
    </row>
    <row r="183" spans="1:11" x14ac:dyDescent="0.2">
      <c r="A183" t="s">
        <v>4572</v>
      </c>
      <c r="B183" t="s">
        <v>4573</v>
      </c>
      <c r="C183" t="s">
        <v>4574</v>
      </c>
      <c r="D183" t="str">
        <f>"00120"</f>
        <v>00120</v>
      </c>
      <c r="E183" t="s">
        <v>3417</v>
      </c>
      <c r="F183" t="s">
        <v>4575</v>
      </c>
      <c r="G183" t="str">
        <f>"06.07.2007"</f>
        <v>06.07.2007</v>
      </c>
      <c r="H183" t="s">
        <v>4576</v>
      </c>
      <c r="I183" t="s">
        <v>4577</v>
      </c>
      <c r="J183" t="s">
        <v>4578</v>
      </c>
      <c r="K183" t="s">
        <v>3460</v>
      </c>
    </row>
    <row r="184" spans="1:11" x14ac:dyDescent="0.2">
      <c r="A184" t="s">
        <v>4579</v>
      </c>
      <c r="B184" t="s">
        <v>4580</v>
      </c>
      <c r="C184" t="s">
        <v>4462</v>
      </c>
      <c r="D184" t="str">
        <f>"02600"</f>
        <v>02600</v>
      </c>
      <c r="E184" t="s">
        <v>3413</v>
      </c>
      <c r="F184" t="s">
        <v>4581</v>
      </c>
      <c r="G184" t="str">
        <f>"12.12.1990"</f>
        <v>12.12.1990</v>
      </c>
      <c r="H184" t="s">
        <v>4582</v>
      </c>
      <c r="I184" t="s">
        <v>4583</v>
      </c>
      <c r="J184" t="s">
        <v>4584</v>
      </c>
      <c r="K184" t="s">
        <v>3460</v>
      </c>
    </row>
    <row r="185" spans="1:11" x14ac:dyDescent="0.2">
      <c r="A185" t="s">
        <v>4585</v>
      </c>
      <c r="B185" t="s">
        <v>4586</v>
      </c>
      <c r="C185" t="s">
        <v>4587</v>
      </c>
      <c r="D185" t="str">
        <f>"00510"</f>
        <v>00510</v>
      </c>
      <c r="E185" t="s">
        <v>3417</v>
      </c>
      <c r="F185" t="s">
        <v>4588</v>
      </c>
      <c r="G185" t="str">
        <f>"31.12.2015"</f>
        <v>31.12.2015</v>
      </c>
      <c r="H185" t="s">
        <v>4589</v>
      </c>
      <c r="I185" t="s">
        <v>4590</v>
      </c>
      <c r="J185" t="s">
        <v>4591</v>
      </c>
      <c r="K185" t="s">
        <v>19</v>
      </c>
    </row>
    <row r="186" spans="1:11" x14ac:dyDescent="0.2">
      <c r="A186" t="s">
        <v>4592</v>
      </c>
      <c r="B186" t="s">
        <v>4593</v>
      </c>
      <c r="C186" t="s">
        <v>4594</v>
      </c>
      <c r="D186" t="str">
        <f>"00076"</f>
        <v>00076</v>
      </c>
      <c r="E186" t="s">
        <v>4595</v>
      </c>
      <c r="F186" t="s">
        <v>4596</v>
      </c>
      <c r="G186" t="str">
        <f>"11.08.2014"</f>
        <v>11.08.2014</v>
      </c>
      <c r="H186" t="s">
        <v>4597</v>
      </c>
      <c r="I186" t="s">
        <v>4598</v>
      </c>
      <c r="J186" t="s">
        <v>4599</v>
      </c>
      <c r="K186" t="s">
        <v>4600</v>
      </c>
    </row>
    <row r="187" spans="1:11" x14ac:dyDescent="0.2">
      <c r="A187" t="s">
        <v>4601</v>
      </c>
      <c r="B187" t="s">
        <v>4602</v>
      </c>
      <c r="C187" t="s">
        <v>4603</v>
      </c>
      <c r="D187" t="str">
        <f>"00200"</f>
        <v>00200</v>
      </c>
      <c r="E187" t="s">
        <v>3417</v>
      </c>
      <c r="F187" t="s">
        <v>4604</v>
      </c>
      <c r="G187" t="str">
        <f>"28.08.2018"</f>
        <v>28.08.2018</v>
      </c>
      <c r="H187" t="s">
        <v>4605</v>
      </c>
      <c r="I187" t="s">
        <v>4606</v>
      </c>
      <c r="J187" t="s">
        <v>4607</v>
      </c>
      <c r="K187" t="s">
        <v>3460</v>
      </c>
    </row>
    <row r="188" spans="1:11" x14ac:dyDescent="0.2">
      <c r="A188" t="s">
        <v>4608</v>
      </c>
      <c r="B188" t="s">
        <v>4609</v>
      </c>
      <c r="C188" t="s">
        <v>4610</v>
      </c>
      <c r="D188" t="str">
        <f>"20750"</f>
        <v>20750</v>
      </c>
      <c r="E188" t="s">
        <v>3639</v>
      </c>
      <c r="F188" t="s">
        <v>4611</v>
      </c>
      <c r="G188" t="str">
        <f>"25.05.2018"</f>
        <v>25.05.2018</v>
      </c>
      <c r="H188" t="s">
        <v>4612</v>
      </c>
      <c r="I188" t="s">
        <v>4613</v>
      </c>
      <c r="J188" t="s">
        <v>4614</v>
      </c>
      <c r="K188" t="s">
        <v>19</v>
      </c>
    </row>
    <row r="189" spans="1:11" x14ac:dyDescent="0.2">
      <c r="A189" t="s">
        <v>4615</v>
      </c>
      <c r="B189" t="s">
        <v>4616</v>
      </c>
      <c r="C189" t="s">
        <v>4617</v>
      </c>
      <c r="D189" t="str">
        <f>"01721"</f>
        <v>01721</v>
      </c>
      <c r="E189" t="s">
        <v>3935</v>
      </c>
      <c r="F189" t="s">
        <v>4618</v>
      </c>
      <c r="G189" t="str">
        <f>"20.08.2014"</f>
        <v>20.08.2014</v>
      </c>
      <c r="H189" t="s">
        <v>4619</v>
      </c>
      <c r="I189" t="s">
        <v>4620</v>
      </c>
      <c r="J189" t="s">
        <v>4621</v>
      </c>
      <c r="K189" t="s">
        <v>4622</v>
      </c>
    </row>
    <row r="190" spans="1:11" x14ac:dyDescent="0.2">
      <c r="A190" t="s">
        <v>4623</v>
      </c>
      <c r="B190" t="s">
        <v>4624</v>
      </c>
      <c r="C190" t="s">
        <v>4625</v>
      </c>
      <c r="D190" t="str">
        <f>"00230"</f>
        <v>00230</v>
      </c>
      <c r="E190" t="s">
        <v>3417</v>
      </c>
      <c r="F190" t="s">
        <v>4626</v>
      </c>
      <c r="G190" t="str">
        <f>"03.05.2005"</f>
        <v>03.05.2005</v>
      </c>
      <c r="H190" t="s">
        <v>4627</v>
      </c>
      <c r="I190" t="s">
        <v>4628</v>
      </c>
      <c r="J190" t="s">
        <v>4629</v>
      </c>
      <c r="K190" t="s">
        <v>4630</v>
      </c>
    </row>
    <row r="191" spans="1:11" x14ac:dyDescent="0.2">
      <c r="A191" t="s">
        <v>4631</v>
      </c>
      <c r="B191" t="s">
        <v>4632</v>
      </c>
      <c r="C191" t="s">
        <v>4633</v>
      </c>
      <c r="D191" t="str">
        <f>"00100"</f>
        <v>00100</v>
      </c>
      <c r="E191" t="s">
        <v>3417</v>
      </c>
      <c r="F191" t="s">
        <v>4634</v>
      </c>
      <c r="G191" t="str">
        <f>"25.04.2008"</f>
        <v>25.04.2008</v>
      </c>
      <c r="H191" t="s">
        <v>4635</v>
      </c>
      <c r="I191" t="s">
        <v>4636</v>
      </c>
      <c r="J191" t="s">
        <v>4637</v>
      </c>
      <c r="K191" t="s">
        <v>19</v>
      </c>
    </row>
    <row r="192" spans="1:11" x14ac:dyDescent="0.2">
      <c r="A192" t="s">
        <v>4638</v>
      </c>
      <c r="B192" t="s">
        <v>4639</v>
      </c>
      <c r="C192" t="s">
        <v>4640</v>
      </c>
      <c r="D192" t="str">
        <f>"00100"</f>
        <v>00100</v>
      </c>
      <c r="E192" t="s">
        <v>3417</v>
      </c>
      <c r="F192" t="s">
        <v>4641</v>
      </c>
      <c r="G192" t="str">
        <f>"11.01.2007"</f>
        <v>11.01.2007</v>
      </c>
      <c r="H192" t="s">
        <v>4635</v>
      </c>
      <c r="I192" t="s">
        <v>4642</v>
      </c>
      <c r="J192" t="s">
        <v>4643</v>
      </c>
      <c r="K192" t="s">
        <v>19</v>
      </c>
    </row>
    <row r="193" spans="1:11" x14ac:dyDescent="0.2">
      <c r="A193" t="s">
        <v>4644</v>
      </c>
      <c r="B193" t="s">
        <v>4645</v>
      </c>
      <c r="C193" t="s">
        <v>4646</v>
      </c>
      <c r="D193" t="str">
        <f>"15880"</f>
        <v>15880</v>
      </c>
      <c r="E193" t="s">
        <v>4647</v>
      </c>
      <c r="F193" t="s">
        <v>4648</v>
      </c>
      <c r="G193" t="str">
        <f>"13.04.1994"</f>
        <v>13.04.1994</v>
      </c>
      <c r="H193" t="s">
        <v>4649</v>
      </c>
      <c r="I193" t="s">
        <v>4650</v>
      </c>
      <c r="J193" t="s">
        <v>4651</v>
      </c>
      <c r="K193" t="s">
        <v>3460</v>
      </c>
    </row>
    <row r="194" spans="1:11" x14ac:dyDescent="0.2">
      <c r="A194" t="s">
        <v>4652</v>
      </c>
      <c r="B194" t="s">
        <v>4653</v>
      </c>
      <c r="C194" t="s">
        <v>4654</v>
      </c>
      <c r="D194" t="str">
        <f>"00380"</f>
        <v>00380</v>
      </c>
      <c r="E194" t="s">
        <v>3417</v>
      </c>
      <c r="F194" t="s">
        <v>4655</v>
      </c>
      <c r="G194" t="str">
        <f>"25.02.2014"</f>
        <v>25.02.2014</v>
      </c>
      <c r="H194" t="s">
        <v>4656</v>
      </c>
      <c r="I194" t="s">
        <v>4657</v>
      </c>
      <c r="J194" t="s">
        <v>4658</v>
      </c>
      <c r="K194" t="s">
        <v>19</v>
      </c>
    </row>
    <row r="195" spans="1:11" x14ac:dyDescent="0.2">
      <c r="A195" t="s">
        <v>4659</v>
      </c>
      <c r="B195" t="s">
        <v>4660</v>
      </c>
      <c r="C195" t="s">
        <v>3501</v>
      </c>
      <c r="D195" t="str">
        <f>"02150"</f>
        <v>02150</v>
      </c>
      <c r="E195" t="s">
        <v>3413</v>
      </c>
      <c r="F195" t="s">
        <v>4661</v>
      </c>
      <c r="G195" t="str">
        <f>"31.08.2018"</f>
        <v>31.08.2018</v>
      </c>
      <c r="H195" t="s">
        <v>4662</v>
      </c>
      <c r="I195" t="s">
        <v>4663</v>
      </c>
      <c r="J195" t="s">
        <v>4664</v>
      </c>
      <c r="K195" t="s">
        <v>19</v>
      </c>
    </row>
    <row r="196" spans="1:11" x14ac:dyDescent="0.2">
      <c r="A196" t="s">
        <v>4665</v>
      </c>
      <c r="B196" t="s">
        <v>4666</v>
      </c>
      <c r="C196" t="s">
        <v>4667</v>
      </c>
      <c r="D196" t="str">
        <f>"00130"</f>
        <v>00130</v>
      </c>
      <c r="E196" t="s">
        <v>3417</v>
      </c>
      <c r="F196" t="s">
        <v>4668</v>
      </c>
      <c r="G196" t="str">
        <f>"06.03.2008"</f>
        <v>06.03.2008</v>
      </c>
      <c r="H196" t="s">
        <v>4669</v>
      </c>
      <c r="I196" t="s">
        <v>4670</v>
      </c>
      <c r="J196" t="s">
        <v>4671</v>
      </c>
      <c r="K196" t="s">
        <v>19</v>
      </c>
    </row>
    <row r="197" spans="1:11" x14ac:dyDescent="0.2">
      <c r="A197" t="s">
        <v>4672</v>
      </c>
      <c r="B197" t="s">
        <v>4673</v>
      </c>
      <c r="C197" t="s">
        <v>4674</v>
      </c>
      <c r="D197" t="str">
        <f>"00550"</f>
        <v>00550</v>
      </c>
      <c r="E197" t="s">
        <v>3417</v>
      </c>
      <c r="F197" t="s">
        <v>4675</v>
      </c>
      <c r="G197" t="str">
        <f>"07.03.2013"</f>
        <v>07.03.2013</v>
      </c>
      <c r="H197" t="s">
        <v>4676</v>
      </c>
      <c r="I197" t="s">
        <v>4677</v>
      </c>
      <c r="J197" t="s">
        <v>4678</v>
      </c>
      <c r="K197" t="s">
        <v>3460</v>
      </c>
    </row>
    <row r="198" spans="1:11" x14ac:dyDescent="0.2">
      <c r="A198" t="s">
        <v>4679</v>
      </c>
      <c r="B198" t="s">
        <v>4680</v>
      </c>
      <c r="C198" t="s">
        <v>3479</v>
      </c>
      <c r="D198" t="str">
        <f>"00100"</f>
        <v>00100</v>
      </c>
      <c r="E198" t="s">
        <v>3417</v>
      </c>
      <c r="F198" t="s">
        <v>4681</v>
      </c>
      <c r="G198" t="str">
        <f>"08.12.2014"</f>
        <v>08.12.2014</v>
      </c>
      <c r="H198" t="s">
        <v>4682</v>
      </c>
      <c r="I198" t="s">
        <v>4683</v>
      </c>
      <c r="J198" t="s">
        <v>4684</v>
      </c>
      <c r="K198" t="s">
        <v>3506</v>
      </c>
    </row>
    <row r="199" spans="1:11" x14ac:dyDescent="0.2">
      <c r="A199" t="s">
        <v>4685</v>
      </c>
      <c r="B199" t="s">
        <v>4686</v>
      </c>
      <c r="C199" t="s">
        <v>4687</v>
      </c>
      <c r="D199" t="str">
        <f>"00700"</f>
        <v>00700</v>
      </c>
      <c r="E199" t="s">
        <v>3417</v>
      </c>
      <c r="F199" t="s">
        <v>4688</v>
      </c>
      <c r="G199" t="str">
        <f>"10.01.2002"</f>
        <v>10.01.2002</v>
      </c>
      <c r="H199" t="s">
        <v>4689</v>
      </c>
      <c r="I199" t="s">
        <v>4690</v>
      </c>
      <c r="J199" t="s">
        <v>4691</v>
      </c>
      <c r="K199" t="s">
        <v>3460</v>
      </c>
    </row>
    <row r="200" spans="1:11" x14ac:dyDescent="0.2">
      <c r="A200" t="s">
        <v>4692</v>
      </c>
      <c r="B200" t="s">
        <v>4693</v>
      </c>
      <c r="C200" t="s">
        <v>3677</v>
      </c>
      <c r="D200" t="str">
        <f>"00101"</f>
        <v>00101</v>
      </c>
      <c r="E200" t="s">
        <v>3417</v>
      </c>
      <c r="F200" t="s">
        <v>4694</v>
      </c>
      <c r="G200" t="str">
        <f>"24.05.2017"</f>
        <v>24.05.2017</v>
      </c>
      <c r="H200" t="s">
        <v>4695</v>
      </c>
      <c r="I200" t="s">
        <v>4696</v>
      </c>
      <c r="J200" t="s">
        <v>4697</v>
      </c>
      <c r="K200" t="s">
        <v>4698</v>
      </c>
    </row>
    <row r="201" spans="1:11" x14ac:dyDescent="0.2">
      <c r="A201" t="s">
        <v>4699</v>
      </c>
      <c r="B201" t="s">
        <v>4700</v>
      </c>
      <c r="F201" t="s">
        <v>4701</v>
      </c>
      <c r="G201" t="str">
        <f>"16.01.2002"</f>
        <v>16.01.2002</v>
      </c>
      <c r="H201" t="s">
        <v>4702</v>
      </c>
      <c r="I201" t="s">
        <v>4703</v>
      </c>
      <c r="J201" t="s">
        <v>4704</v>
      </c>
      <c r="K201" t="s">
        <v>19</v>
      </c>
    </row>
    <row r="202" spans="1:11" x14ac:dyDescent="0.2">
      <c r="A202" t="s">
        <v>4705</v>
      </c>
      <c r="B202" t="s">
        <v>4706</v>
      </c>
      <c r="C202" t="s">
        <v>4707</v>
      </c>
      <c r="D202" t="str">
        <f>"00130"</f>
        <v>00130</v>
      </c>
      <c r="E202" t="s">
        <v>3417</v>
      </c>
      <c r="F202" t="s">
        <v>4708</v>
      </c>
      <c r="G202" t="str">
        <f>"28.09.2011"</f>
        <v>28.09.2011</v>
      </c>
      <c r="H202" t="s">
        <v>4709</v>
      </c>
      <c r="I202" t="s">
        <v>4710</v>
      </c>
      <c r="J202" t="s">
        <v>4711</v>
      </c>
      <c r="K202" t="s">
        <v>19</v>
      </c>
    </row>
    <row r="203" spans="1:11" x14ac:dyDescent="0.2">
      <c r="A203" t="s">
        <v>4712</v>
      </c>
      <c r="B203" t="s">
        <v>4713</v>
      </c>
      <c r="C203" t="s">
        <v>4714</v>
      </c>
      <c r="D203" t="str">
        <f>"40100"</f>
        <v>40100</v>
      </c>
      <c r="E203" t="s">
        <v>3464</v>
      </c>
      <c r="F203" t="s">
        <v>4715</v>
      </c>
      <c r="G203" t="str">
        <f>"27.04.2012"</f>
        <v>27.04.2012</v>
      </c>
      <c r="H203" t="s">
        <v>4716</v>
      </c>
      <c r="I203" t="s">
        <v>4717</v>
      </c>
      <c r="J203" t="s">
        <v>4718</v>
      </c>
      <c r="K203" t="s">
        <v>3422</v>
      </c>
    </row>
    <row r="204" spans="1:11" x14ac:dyDescent="0.2">
      <c r="A204" t="s">
        <v>4719</v>
      </c>
      <c r="B204" t="s">
        <v>4720</v>
      </c>
      <c r="C204" t="s">
        <v>4721</v>
      </c>
      <c r="D204" t="str">
        <f>"00100"</f>
        <v>00100</v>
      </c>
      <c r="E204" t="s">
        <v>3417</v>
      </c>
      <c r="F204" t="s">
        <v>4722</v>
      </c>
      <c r="G204" t="str">
        <f>"09.12.2003"</f>
        <v>09.12.2003</v>
      </c>
      <c r="H204" t="s">
        <v>4723</v>
      </c>
      <c r="I204" t="s">
        <v>4724</v>
      </c>
      <c r="J204" t="s">
        <v>4725</v>
      </c>
      <c r="K204" t="s">
        <v>19</v>
      </c>
    </row>
    <row r="205" spans="1:11" x14ac:dyDescent="0.2">
      <c r="A205" t="s">
        <v>4726</v>
      </c>
      <c r="B205" t="s">
        <v>4727</v>
      </c>
      <c r="C205" t="s">
        <v>4728</v>
      </c>
      <c r="D205" t="str">
        <f>"33200"</f>
        <v>33200</v>
      </c>
      <c r="E205" t="s">
        <v>3546</v>
      </c>
      <c r="F205" t="s">
        <v>4729</v>
      </c>
      <c r="G205" t="str">
        <f>"16.11.2010"</f>
        <v>16.11.2010</v>
      </c>
      <c r="H205" t="s">
        <v>4730</v>
      </c>
      <c r="I205" t="s">
        <v>4731</v>
      </c>
      <c r="J205" t="s">
        <v>4732</v>
      </c>
      <c r="K205" t="s">
        <v>3460</v>
      </c>
    </row>
    <row r="206" spans="1:11" x14ac:dyDescent="0.2">
      <c r="A206" t="s">
        <v>4733</v>
      </c>
      <c r="B206" t="s">
        <v>4734</v>
      </c>
      <c r="C206" t="s">
        <v>4735</v>
      </c>
      <c r="D206" t="str">
        <f>"00580"</f>
        <v>00580</v>
      </c>
      <c r="E206" t="s">
        <v>3417</v>
      </c>
      <c r="F206" t="s">
        <v>4736</v>
      </c>
      <c r="G206" t="str">
        <f>"01.03.2017"</f>
        <v>01.03.2017</v>
      </c>
      <c r="H206" t="s">
        <v>4737</v>
      </c>
      <c r="I206" t="s">
        <v>4738</v>
      </c>
      <c r="J206" t="s">
        <v>4739</v>
      </c>
      <c r="K206" t="s">
        <v>3660</v>
      </c>
    </row>
    <row r="207" spans="1:11" x14ac:dyDescent="0.2">
      <c r="A207" t="s">
        <v>4740</v>
      </c>
      <c r="B207" t="s">
        <v>4741</v>
      </c>
      <c r="C207" t="s">
        <v>4742</v>
      </c>
      <c r="D207" t="str">
        <f>"00100"</f>
        <v>00100</v>
      </c>
      <c r="E207" t="s">
        <v>3417</v>
      </c>
      <c r="F207" t="s">
        <v>4743</v>
      </c>
      <c r="G207" t="str">
        <f>"25.02.2011"</f>
        <v>25.02.2011</v>
      </c>
      <c r="H207" t="s">
        <v>4744</v>
      </c>
      <c r="I207" t="s">
        <v>4745</v>
      </c>
      <c r="J207" t="s">
        <v>4746</v>
      </c>
      <c r="K207" t="s">
        <v>19</v>
      </c>
    </row>
    <row r="208" spans="1:11" x14ac:dyDescent="0.2">
      <c r="A208" t="s">
        <v>4747</v>
      </c>
      <c r="B208" t="s">
        <v>4748</v>
      </c>
      <c r="C208" t="s">
        <v>4749</v>
      </c>
      <c r="D208" t="str">
        <f>"00100"</f>
        <v>00100</v>
      </c>
      <c r="E208" t="s">
        <v>3417</v>
      </c>
      <c r="F208" t="s">
        <v>4750</v>
      </c>
      <c r="G208" t="str">
        <f>"19.07.2013"</f>
        <v>19.07.2013</v>
      </c>
      <c r="H208" t="s">
        <v>4751</v>
      </c>
      <c r="I208" t="s">
        <v>4752</v>
      </c>
      <c r="J208" t="s">
        <v>4753</v>
      </c>
      <c r="K208" t="s">
        <v>19</v>
      </c>
    </row>
    <row r="209" spans="1:11" x14ac:dyDescent="0.2">
      <c r="A209" t="s">
        <v>4754</v>
      </c>
      <c r="B209" t="s">
        <v>4755</v>
      </c>
      <c r="C209" t="s">
        <v>4654</v>
      </c>
      <c r="D209" t="str">
        <f>"00380"</f>
        <v>00380</v>
      </c>
      <c r="E209" t="s">
        <v>3417</v>
      </c>
      <c r="F209" t="s">
        <v>4756</v>
      </c>
      <c r="G209" t="str">
        <f>"04.09.2015"</f>
        <v>04.09.2015</v>
      </c>
      <c r="H209" t="s">
        <v>4757</v>
      </c>
      <c r="I209" t="s">
        <v>4758</v>
      </c>
      <c r="J209" t="s">
        <v>4759</v>
      </c>
      <c r="K209" t="s">
        <v>19</v>
      </c>
    </row>
    <row r="210" spans="1:11" x14ac:dyDescent="0.2">
      <c r="A210" t="s">
        <v>4760</v>
      </c>
      <c r="B210" t="s">
        <v>4761</v>
      </c>
      <c r="C210" t="s">
        <v>4762</v>
      </c>
      <c r="D210" t="str">
        <f>"00350"</f>
        <v>00350</v>
      </c>
      <c r="E210" t="s">
        <v>4763</v>
      </c>
      <c r="F210" t="s">
        <v>4764</v>
      </c>
      <c r="G210" t="str">
        <f>"01.04.2015"</f>
        <v>01.04.2015</v>
      </c>
      <c r="H210" t="s">
        <v>4765</v>
      </c>
      <c r="I210" t="s">
        <v>4766</v>
      </c>
      <c r="J210" t="s">
        <v>4767</v>
      </c>
      <c r="K210" t="s">
        <v>3422</v>
      </c>
    </row>
    <row r="211" spans="1:11" x14ac:dyDescent="0.2">
      <c r="A211" t="s">
        <v>4768</v>
      </c>
      <c r="B211" t="s">
        <v>4769</v>
      </c>
      <c r="C211" t="s">
        <v>4770</v>
      </c>
      <c r="D211" t="str">
        <f>"00100"</f>
        <v>00100</v>
      </c>
      <c r="E211" t="s">
        <v>3417</v>
      </c>
      <c r="F211" t="s">
        <v>4771</v>
      </c>
      <c r="G211" t="str">
        <f>"02.03.2016"</f>
        <v>02.03.2016</v>
      </c>
      <c r="H211" t="s">
        <v>4772</v>
      </c>
      <c r="I211" t="s">
        <v>4773</v>
      </c>
      <c r="J211" t="s">
        <v>4774</v>
      </c>
      <c r="K211" t="s">
        <v>19</v>
      </c>
    </row>
    <row r="212" spans="1:11" x14ac:dyDescent="0.2">
      <c r="A212" t="s">
        <v>4775</v>
      </c>
      <c r="B212" t="s">
        <v>4776</v>
      </c>
      <c r="C212" t="s">
        <v>4777</v>
      </c>
      <c r="D212" t="str">
        <f>"02150"</f>
        <v>02150</v>
      </c>
      <c r="E212" t="s">
        <v>3413</v>
      </c>
      <c r="F212" t="s">
        <v>4778</v>
      </c>
      <c r="G212" t="str">
        <f>"09.02.1993"</f>
        <v>09.02.1993</v>
      </c>
      <c r="H212" t="s">
        <v>4779</v>
      </c>
      <c r="I212" t="s">
        <v>4780</v>
      </c>
      <c r="J212" t="s">
        <v>4781</v>
      </c>
      <c r="K212" t="s">
        <v>4782</v>
      </c>
    </row>
    <row r="213" spans="1:11" x14ac:dyDescent="0.2">
      <c r="A213" t="s">
        <v>4783</v>
      </c>
      <c r="B213" t="s">
        <v>4784</v>
      </c>
      <c r="C213" t="s">
        <v>4785</v>
      </c>
      <c r="D213" t="str">
        <f>"02600"</f>
        <v>02600</v>
      </c>
      <c r="E213" t="s">
        <v>3413</v>
      </c>
      <c r="F213" t="s">
        <v>4786</v>
      </c>
      <c r="G213" t="str">
        <f>"17.04.2014"</f>
        <v>17.04.2014</v>
      </c>
      <c r="H213" t="s">
        <v>4787</v>
      </c>
      <c r="I213" t="s">
        <v>4788</v>
      </c>
      <c r="J213" t="s">
        <v>4789</v>
      </c>
      <c r="K213" t="s">
        <v>3460</v>
      </c>
    </row>
    <row r="214" spans="1:11" x14ac:dyDescent="0.2">
      <c r="A214" t="s">
        <v>4790</v>
      </c>
      <c r="B214" t="s">
        <v>4791</v>
      </c>
      <c r="C214" t="s">
        <v>4792</v>
      </c>
      <c r="D214" t="str">
        <f>"00180"</f>
        <v>00180</v>
      </c>
      <c r="E214" t="s">
        <v>3417</v>
      </c>
      <c r="F214" t="s">
        <v>4793</v>
      </c>
      <c r="G214" t="str">
        <f>"29.08.1996"</f>
        <v>29.08.1996</v>
      </c>
      <c r="H214" t="s">
        <v>4794</v>
      </c>
      <c r="I214" t="s">
        <v>4795</v>
      </c>
      <c r="J214" t="s">
        <v>4796</v>
      </c>
      <c r="K214" t="s">
        <v>19</v>
      </c>
    </row>
    <row r="215" spans="1:11" x14ac:dyDescent="0.2">
      <c r="A215" t="s">
        <v>4797</v>
      </c>
      <c r="B215" t="s">
        <v>4798</v>
      </c>
      <c r="C215" t="s">
        <v>4799</v>
      </c>
      <c r="D215" t="str">
        <f>"00380"</f>
        <v>00380</v>
      </c>
      <c r="E215" t="s">
        <v>3417</v>
      </c>
      <c r="F215" t="s">
        <v>4800</v>
      </c>
      <c r="G215" t="str">
        <f>"14.10.2014"</f>
        <v>14.10.2014</v>
      </c>
      <c r="H215" t="s">
        <v>4801</v>
      </c>
      <c r="I215" t="s">
        <v>4802</v>
      </c>
      <c r="J215" t="s">
        <v>4803</v>
      </c>
      <c r="K215" t="s">
        <v>3460</v>
      </c>
    </row>
    <row r="216" spans="1:11" x14ac:dyDescent="0.2">
      <c r="A216" t="s">
        <v>4804</v>
      </c>
      <c r="B216" t="s">
        <v>4805</v>
      </c>
      <c r="C216" t="s">
        <v>4806</v>
      </c>
      <c r="D216" t="str">
        <f>"00640"</f>
        <v>00640</v>
      </c>
      <c r="E216" t="s">
        <v>3417</v>
      </c>
      <c r="F216" t="s">
        <v>4807</v>
      </c>
      <c r="G216" t="str">
        <f>"23.06.2014"</f>
        <v>23.06.2014</v>
      </c>
      <c r="H216" t="s">
        <v>4808</v>
      </c>
      <c r="I216" t="s">
        <v>4809</v>
      </c>
      <c r="J216" t="s">
        <v>4810</v>
      </c>
      <c r="K216" t="s">
        <v>19</v>
      </c>
    </row>
    <row r="217" spans="1:11" x14ac:dyDescent="0.2">
      <c r="A217" t="s">
        <v>4811</v>
      </c>
      <c r="B217" t="s">
        <v>4812</v>
      </c>
      <c r="C217" t="s">
        <v>4813</v>
      </c>
      <c r="D217" t="str">
        <f>"33720"</f>
        <v>33720</v>
      </c>
      <c r="E217" t="s">
        <v>3546</v>
      </c>
      <c r="F217" t="s">
        <v>4814</v>
      </c>
      <c r="G217" t="str">
        <f>"04.12.2015"</f>
        <v>04.12.2015</v>
      </c>
      <c r="H217" t="s">
        <v>4815</v>
      </c>
      <c r="I217" t="s">
        <v>4816</v>
      </c>
      <c r="J217" t="s">
        <v>4817</v>
      </c>
      <c r="K217" t="s">
        <v>3460</v>
      </c>
    </row>
    <row r="218" spans="1:11" x14ac:dyDescent="0.2">
      <c r="A218" t="s">
        <v>4818</v>
      </c>
      <c r="B218" t="s">
        <v>4819</v>
      </c>
      <c r="C218" t="s">
        <v>4820</v>
      </c>
      <c r="D218" t="str">
        <f>"00150"</f>
        <v>00150</v>
      </c>
      <c r="E218" t="s">
        <v>3417</v>
      </c>
      <c r="F218" t="s">
        <v>4821</v>
      </c>
      <c r="G218" t="str">
        <f>"16.03.2020"</f>
        <v>16.03.2020</v>
      </c>
      <c r="H218" t="s">
        <v>4822</v>
      </c>
      <c r="I218" t="s">
        <v>4823</v>
      </c>
      <c r="J218" t="s">
        <v>4824</v>
      </c>
      <c r="K218" t="s">
        <v>19</v>
      </c>
    </row>
    <row r="219" spans="1:11" x14ac:dyDescent="0.2">
      <c r="A219" t="s">
        <v>4825</v>
      </c>
      <c r="B219" t="s">
        <v>4826</v>
      </c>
      <c r="C219" t="s">
        <v>4827</v>
      </c>
      <c r="D219" t="str">
        <f>"37550"</f>
        <v>37550</v>
      </c>
      <c r="E219" t="s">
        <v>4828</v>
      </c>
      <c r="F219" t="s">
        <v>4829</v>
      </c>
      <c r="G219" t="str">
        <f>"25.02.1988"</f>
        <v>25.02.1988</v>
      </c>
      <c r="H219" t="s">
        <v>4830</v>
      </c>
      <c r="I219" t="s">
        <v>4831</v>
      </c>
      <c r="J219" t="s">
        <v>4832</v>
      </c>
      <c r="K219" t="s">
        <v>3460</v>
      </c>
    </row>
    <row r="220" spans="1:11" x14ac:dyDescent="0.2">
      <c r="A220" t="s">
        <v>4833</v>
      </c>
      <c r="B220" t="s">
        <v>4834</v>
      </c>
      <c r="C220" t="s">
        <v>4835</v>
      </c>
      <c r="D220" t="str">
        <f>"00100"</f>
        <v>00100</v>
      </c>
      <c r="E220" t="s">
        <v>3417</v>
      </c>
      <c r="F220" t="s">
        <v>4836</v>
      </c>
      <c r="G220" t="str">
        <f>"30.05.2013"</f>
        <v>30.05.2013</v>
      </c>
      <c r="H220" t="s">
        <v>4837</v>
      </c>
      <c r="I220" t="s">
        <v>4838</v>
      </c>
      <c r="J220" t="s">
        <v>4839</v>
      </c>
      <c r="K220" t="s">
        <v>19</v>
      </c>
    </row>
    <row r="221" spans="1:11" x14ac:dyDescent="0.2">
      <c r="A221" t="s">
        <v>4840</v>
      </c>
      <c r="B221" t="s">
        <v>4841</v>
      </c>
      <c r="C221" t="s">
        <v>4842</v>
      </c>
      <c r="D221" t="str">
        <f>"33200"</f>
        <v>33200</v>
      </c>
      <c r="E221" t="s">
        <v>3546</v>
      </c>
      <c r="F221" t="s">
        <v>4843</v>
      </c>
      <c r="G221" t="str">
        <f>"26.03.2007"</f>
        <v>26.03.2007</v>
      </c>
      <c r="H221" t="s">
        <v>4844</v>
      </c>
      <c r="I221" t="s">
        <v>4845</v>
      </c>
      <c r="J221" t="s">
        <v>4846</v>
      </c>
      <c r="K221" t="s">
        <v>3460</v>
      </c>
    </row>
    <row r="222" spans="1:11" x14ac:dyDescent="0.2">
      <c r="A222" t="s">
        <v>4847</v>
      </c>
      <c r="B222" t="s">
        <v>4848</v>
      </c>
      <c r="C222" t="s">
        <v>4849</v>
      </c>
      <c r="D222" t="str">
        <f>"15100"</f>
        <v>15100</v>
      </c>
      <c r="E222" t="s">
        <v>3957</v>
      </c>
      <c r="F222" t="s">
        <v>4850</v>
      </c>
      <c r="G222" t="str">
        <f>"03.01.2005"</f>
        <v>03.01.2005</v>
      </c>
      <c r="H222" t="s">
        <v>4851</v>
      </c>
      <c r="I222" t="s">
        <v>4852</v>
      </c>
      <c r="J222" t="s">
        <v>4853</v>
      </c>
      <c r="K222" t="s">
        <v>3460</v>
      </c>
    </row>
    <row r="223" spans="1:11" x14ac:dyDescent="0.2">
      <c r="A223" t="s">
        <v>4854</v>
      </c>
      <c r="B223" t="s">
        <v>4855</v>
      </c>
      <c r="C223" t="s">
        <v>4856</v>
      </c>
      <c r="D223" t="str">
        <f>"40630"</f>
        <v>40630</v>
      </c>
      <c r="E223" t="s">
        <v>3464</v>
      </c>
      <c r="F223" t="s">
        <v>4857</v>
      </c>
      <c r="G223" t="str">
        <f>"05.04.2013"</f>
        <v>05.04.2013</v>
      </c>
      <c r="H223" t="s">
        <v>4858</v>
      </c>
      <c r="I223" t="s">
        <v>4859</v>
      </c>
      <c r="J223" t="s">
        <v>4860</v>
      </c>
      <c r="K223" t="s">
        <v>3506</v>
      </c>
    </row>
    <row r="224" spans="1:11" x14ac:dyDescent="0.2">
      <c r="A224" t="s">
        <v>4861</v>
      </c>
      <c r="B224" t="s">
        <v>4862</v>
      </c>
      <c r="C224" t="s">
        <v>4863</v>
      </c>
      <c r="D224" t="str">
        <f>"00100"</f>
        <v>00100</v>
      </c>
      <c r="E224" t="s">
        <v>3417</v>
      </c>
      <c r="F224" t="s">
        <v>4864</v>
      </c>
      <c r="G224" t="str">
        <f>"10.12.2010"</f>
        <v>10.12.2010</v>
      </c>
      <c r="H224" t="s">
        <v>4865</v>
      </c>
      <c r="I224" t="s">
        <v>4866</v>
      </c>
      <c r="J224" t="s">
        <v>4867</v>
      </c>
      <c r="K224" t="s">
        <v>3506</v>
      </c>
    </row>
    <row r="225" spans="1:11" x14ac:dyDescent="0.2">
      <c r="A225" t="s">
        <v>4868</v>
      </c>
      <c r="B225" t="s">
        <v>4869</v>
      </c>
      <c r="C225" t="s">
        <v>4428</v>
      </c>
      <c r="D225" t="str">
        <f>"02600"</f>
        <v>02600</v>
      </c>
      <c r="E225" t="s">
        <v>3413</v>
      </c>
      <c r="G225" t="str">
        <f>"11.12.2015"</f>
        <v>11.12.2015</v>
      </c>
      <c r="H225" t="s">
        <v>3548</v>
      </c>
      <c r="I225" t="s">
        <v>4870</v>
      </c>
      <c r="J225" t="s">
        <v>4431</v>
      </c>
      <c r="K225" t="s">
        <v>3460</v>
      </c>
    </row>
    <row r="226" spans="1:11" x14ac:dyDescent="0.2">
      <c r="A226" t="s">
        <v>4871</v>
      </c>
      <c r="B226" t="s">
        <v>4872</v>
      </c>
      <c r="C226" t="s">
        <v>3412</v>
      </c>
      <c r="D226" t="str">
        <f>"02150"</f>
        <v>02150</v>
      </c>
      <c r="E226" t="s">
        <v>3413</v>
      </c>
      <c r="F226" t="s">
        <v>4873</v>
      </c>
      <c r="G226" t="str">
        <f>"13.10.2017"</f>
        <v>13.10.2017</v>
      </c>
      <c r="H226" t="s">
        <v>4874</v>
      </c>
      <c r="I226" t="s">
        <v>4875</v>
      </c>
      <c r="J226" t="s">
        <v>4876</v>
      </c>
      <c r="K226" t="s">
        <v>19</v>
      </c>
    </row>
    <row r="227" spans="1:11" x14ac:dyDescent="0.2">
      <c r="A227" t="s">
        <v>4877</v>
      </c>
      <c r="B227" t="s">
        <v>4878</v>
      </c>
      <c r="C227" t="s">
        <v>4879</v>
      </c>
      <c r="D227" t="str">
        <f>"00100"</f>
        <v>00100</v>
      </c>
      <c r="E227" t="s">
        <v>3417</v>
      </c>
      <c r="F227" t="s">
        <v>4880</v>
      </c>
      <c r="G227" t="str">
        <f>"16.06.2014"</f>
        <v>16.06.2014</v>
      </c>
      <c r="H227" t="s">
        <v>4881</v>
      </c>
      <c r="I227" t="s">
        <v>4882</v>
      </c>
      <c r="J227" t="s">
        <v>4883</v>
      </c>
      <c r="K227" t="s">
        <v>19</v>
      </c>
    </row>
    <row r="228" spans="1:11" x14ac:dyDescent="0.2">
      <c r="A228" t="s">
        <v>4884</v>
      </c>
      <c r="B228" t="s">
        <v>4885</v>
      </c>
      <c r="C228" t="s">
        <v>3524</v>
      </c>
      <c r="D228" t="str">
        <f>"00180"</f>
        <v>00180</v>
      </c>
      <c r="E228" t="s">
        <v>3417</v>
      </c>
      <c r="F228" t="s">
        <v>4886</v>
      </c>
      <c r="G228" t="str">
        <f>"19.02.2018"</f>
        <v>19.02.2018</v>
      </c>
      <c r="H228" t="s">
        <v>4887</v>
      </c>
      <c r="I228" t="s">
        <v>4888</v>
      </c>
      <c r="J228" t="s">
        <v>4889</v>
      </c>
      <c r="K228" t="s">
        <v>19</v>
      </c>
    </row>
    <row r="229" spans="1:11" x14ac:dyDescent="0.2">
      <c r="A229" t="s">
        <v>4890</v>
      </c>
      <c r="B229" t="s">
        <v>4891</v>
      </c>
      <c r="C229" t="s">
        <v>4892</v>
      </c>
      <c r="D229" t="str">
        <f>"90100"</f>
        <v>90100</v>
      </c>
      <c r="E229" t="s">
        <v>3972</v>
      </c>
      <c r="F229" t="s">
        <v>4893</v>
      </c>
      <c r="G229" t="str">
        <f>"11.03.2003"</f>
        <v>11.03.2003</v>
      </c>
      <c r="H229" t="s">
        <v>4894</v>
      </c>
      <c r="I229" t="s">
        <v>4895</v>
      </c>
      <c r="J229" t="s">
        <v>4896</v>
      </c>
      <c r="K229" t="s">
        <v>3460</v>
      </c>
    </row>
    <row r="230" spans="1:11" x14ac:dyDescent="0.2">
      <c r="A230" t="s">
        <v>4897</v>
      </c>
      <c r="B230" t="s">
        <v>4898</v>
      </c>
      <c r="C230" t="s">
        <v>4899</v>
      </c>
      <c r="D230" t="str">
        <f>"29270"</f>
        <v>29270</v>
      </c>
      <c r="E230" t="s">
        <v>4900</v>
      </c>
      <c r="F230" t="s">
        <v>4901</v>
      </c>
      <c r="G230" t="str">
        <f>"18.10.2001"</f>
        <v>18.10.2001</v>
      </c>
      <c r="H230" t="s">
        <v>4902</v>
      </c>
      <c r="I230" t="s">
        <v>4903</v>
      </c>
      <c r="J230" t="s">
        <v>4904</v>
      </c>
      <c r="K230" t="s">
        <v>19</v>
      </c>
    </row>
    <row r="231" spans="1:11" x14ac:dyDescent="0.2">
      <c r="A231" t="s">
        <v>4905</v>
      </c>
      <c r="B231" t="s">
        <v>4906</v>
      </c>
      <c r="C231" t="s">
        <v>4907</v>
      </c>
      <c r="D231" t="str">
        <f>"20250"</f>
        <v>20250</v>
      </c>
      <c r="E231" t="s">
        <v>3639</v>
      </c>
      <c r="F231" t="s">
        <v>4908</v>
      </c>
      <c r="G231" t="str">
        <f>"06.07.2007"</f>
        <v>06.07.2007</v>
      </c>
      <c r="H231" t="s">
        <v>4909</v>
      </c>
      <c r="I231" t="s">
        <v>4910</v>
      </c>
      <c r="J231" t="s">
        <v>4911</v>
      </c>
      <c r="K231" t="s">
        <v>3460</v>
      </c>
    </row>
    <row r="232" spans="1:11" x14ac:dyDescent="0.2">
      <c r="A232" t="s">
        <v>4912</v>
      </c>
      <c r="B232" t="s">
        <v>4913</v>
      </c>
      <c r="C232" t="s">
        <v>4914</v>
      </c>
      <c r="D232" t="str">
        <f>"33720"</f>
        <v>33720</v>
      </c>
      <c r="E232" t="s">
        <v>3546</v>
      </c>
      <c r="F232" t="s">
        <v>4915</v>
      </c>
      <c r="G232" t="str">
        <f>"21.04.2017"</f>
        <v>21.04.2017</v>
      </c>
      <c r="H232" t="s">
        <v>4916</v>
      </c>
      <c r="I232" t="s">
        <v>4917</v>
      </c>
      <c r="J232" t="s">
        <v>4918</v>
      </c>
      <c r="K232" t="s">
        <v>3460</v>
      </c>
    </row>
    <row r="233" spans="1:11" x14ac:dyDescent="0.2">
      <c r="A233" t="s">
        <v>4919</v>
      </c>
      <c r="B233" t="s">
        <v>4920</v>
      </c>
      <c r="C233" t="s">
        <v>4921</v>
      </c>
      <c r="D233" t="str">
        <f>"28400"</f>
        <v>28400</v>
      </c>
      <c r="E233" t="s">
        <v>4922</v>
      </c>
      <c r="F233" t="s">
        <v>4923</v>
      </c>
      <c r="G233" t="str">
        <f>"28.03.2016"</f>
        <v>28.03.2016</v>
      </c>
      <c r="H233" t="s">
        <v>4924</v>
      </c>
      <c r="I233" t="s">
        <v>4925</v>
      </c>
      <c r="J233" t="s">
        <v>4926</v>
      </c>
      <c r="K233" t="s">
        <v>4927</v>
      </c>
    </row>
    <row r="234" spans="1:11" x14ac:dyDescent="0.2">
      <c r="A234" t="s">
        <v>4928</v>
      </c>
      <c r="B234" t="s">
        <v>4929</v>
      </c>
      <c r="C234" t="s">
        <v>3638</v>
      </c>
      <c r="D234" t="str">
        <f>"20520"</f>
        <v>20520</v>
      </c>
      <c r="E234" t="s">
        <v>3639</v>
      </c>
      <c r="F234" t="s">
        <v>4930</v>
      </c>
      <c r="G234" t="str">
        <f>"26.01.2016"</f>
        <v>26.01.2016</v>
      </c>
      <c r="H234" t="s">
        <v>4931</v>
      </c>
      <c r="I234" t="s">
        <v>4932</v>
      </c>
      <c r="J234" t="s">
        <v>4933</v>
      </c>
      <c r="K234" t="s">
        <v>19</v>
      </c>
    </row>
    <row r="235" spans="1:11" x14ac:dyDescent="0.2">
      <c r="A235" t="s">
        <v>4934</v>
      </c>
      <c r="B235" t="s">
        <v>4935</v>
      </c>
      <c r="C235" t="s">
        <v>4936</v>
      </c>
      <c r="D235" t="str">
        <f>"02300"</f>
        <v>02300</v>
      </c>
      <c r="E235" t="s">
        <v>3413</v>
      </c>
      <c r="F235" t="s">
        <v>4937</v>
      </c>
      <c r="G235" t="str">
        <f>"28.04.2017"</f>
        <v>28.04.2017</v>
      </c>
      <c r="H235" t="s">
        <v>4938</v>
      </c>
      <c r="I235" t="s">
        <v>4939</v>
      </c>
      <c r="J235" t="s">
        <v>4940</v>
      </c>
      <c r="K235" t="s">
        <v>19</v>
      </c>
    </row>
    <row r="236" spans="1:11" x14ac:dyDescent="0.2">
      <c r="A236" t="s">
        <v>4941</v>
      </c>
      <c r="B236" t="s">
        <v>4942</v>
      </c>
      <c r="C236" t="s">
        <v>4943</v>
      </c>
      <c r="D236" t="str">
        <f>"00700"</f>
        <v>00700</v>
      </c>
      <c r="E236" t="s">
        <v>3417</v>
      </c>
      <c r="F236" t="s">
        <v>4944</v>
      </c>
      <c r="G236" t="str">
        <f>"11.07.2014"</f>
        <v>11.07.2014</v>
      </c>
      <c r="H236" t="s">
        <v>4945</v>
      </c>
      <c r="I236" t="s">
        <v>4946</v>
      </c>
      <c r="J236" t="s">
        <v>4947</v>
      </c>
      <c r="K236" t="s">
        <v>4948</v>
      </c>
    </row>
    <row r="237" spans="1:11" x14ac:dyDescent="0.2">
      <c r="A237" t="s">
        <v>4949</v>
      </c>
      <c r="B237" t="s">
        <v>4950</v>
      </c>
      <c r="C237" t="s">
        <v>4951</v>
      </c>
      <c r="D237" t="str">
        <f>"33100"</f>
        <v>33100</v>
      </c>
      <c r="E237" t="s">
        <v>3546</v>
      </c>
      <c r="F237" t="s">
        <v>4952</v>
      </c>
      <c r="G237" t="str">
        <f>"24.02.2015"</f>
        <v>24.02.2015</v>
      </c>
      <c r="H237" t="s">
        <v>4953</v>
      </c>
      <c r="I237" t="s">
        <v>4954</v>
      </c>
      <c r="J237" t="s">
        <v>4955</v>
      </c>
      <c r="K237" t="s">
        <v>3460</v>
      </c>
    </row>
    <row r="238" spans="1:11" x14ac:dyDescent="0.2">
      <c r="A238" t="s">
        <v>4956</v>
      </c>
      <c r="B238" t="s">
        <v>4957</v>
      </c>
      <c r="C238" t="s">
        <v>4958</v>
      </c>
      <c r="D238" t="str">
        <f>"40320"</f>
        <v>40320</v>
      </c>
      <c r="E238" t="s">
        <v>3464</v>
      </c>
      <c r="F238" t="s">
        <v>4959</v>
      </c>
      <c r="G238" t="str">
        <f>"14.03.2017"</f>
        <v>14.03.2017</v>
      </c>
      <c r="H238" t="s">
        <v>4960</v>
      </c>
      <c r="I238" t="s">
        <v>4961</v>
      </c>
      <c r="J238" t="s">
        <v>4962</v>
      </c>
      <c r="K238" t="s">
        <v>4963</v>
      </c>
    </row>
    <row r="239" spans="1:11" x14ac:dyDescent="0.2">
      <c r="A239" t="s">
        <v>4964</v>
      </c>
      <c r="B239" t="s">
        <v>4965</v>
      </c>
      <c r="C239" t="s">
        <v>4966</v>
      </c>
      <c r="D239" t="str">
        <f>"00510"</f>
        <v>00510</v>
      </c>
      <c r="E239" t="s">
        <v>3417</v>
      </c>
      <c r="F239" t="s">
        <v>4967</v>
      </c>
      <c r="G239" t="str">
        <f>"11.03.2019"</f>
        <v>11.03.2019</v>
      </c>
      <c r="H239" t="s">
        <v>4968</v>
      </c>
      <c r="I239" t="s">
        <v>4969</v>
      </c>
      <c r="J239" t="s">
        <v>4970</v>
      </c>
      <c r="K239" t="s">
        <v>3460</v>
      </c>
    </row>
    <row r="240" spans="1:11" x14ac:dyDescent="0.2">
      <c r="A240" t="s">
        <v>4971</v>
      </c>
      <c r="B240" t="s">
        <v>4972</v>
      </c>
      <c r="C240" t="s">
        <v>4973</v>
      </c>
      <c r="D240" t="str">
        <f>"61850"</f>
        <v>61850</v>
      </c>
      <c r="E240" t="s">
        <v>4974</v>
      </c>
      <c r="F240" t="s">
        <v>4975</v>
      </c>
      <c r="G240" t="str">
        <f>"21.09.2006"</f>
        <v>21.09.2006</v>
      </c>
      <c r="H240" t="s">
        <v>4976</v>
      </c>
      <c r="I240" t="s">
        <v>4977</v>
      </c>
      <c r="J240" t="s">
        <v>4978</v>
      </c>
      <c r="K240" t="s">
        <v>3460</v>
      </c>
    </row>
    <row r="241" spans="1:11" x14ac:dyDescent="0.2">
      <c r="A241" t="s">
        <v>4979</v>
      </c>
      <c r="B241" t="s">
        <v>4980</v>
      </c>
      <c r="C241" t="s">
        <v>3720</v>
      </c>
      <c r="D241" t="str">
        <f>"00200"</f>
        <v>00200</v>
      </c>
      <c r="E241" t="s">
        <v>3417</v>
      </c>
      <c r="F241" t="s">
        <v>4981</v>
      </c>
      <c r="G241" t="str">
        <f>"20.08.2019"</f>
        <v>20.08.2019</v>
      </c>
      <c r="H241" t="s">
        <v>4982</v>
      </c>
      <c r="I241" t="s">
        <v>4983</v>
      </c>
      <c r="J241" t="s">
        <v>4984</v>
      </c>
      <c r="K241" t="s">
        <v>618</v>
      </c>
    </row>
    <row r="242" spans="1:11" x14ac:dyDescent="0.2">
      <c r="A242" t="s">
        <v>4985</v>
      </c>
      <c r="B242" t="s">
        <v>4986</v>
      </c>
      <c r="C242" t="s">
        <v>4987</v>
      </c>
      <c r="D242" t="str">
        <f>"00560"</f>
        <v>00560</v>
      </c>
      <c r="E242" t="s">
        <v>3417</v>
      </c>
      <c r="F242" t="s">
        <v>4988</v>
      </c>
      <c r="G242" t="str">
        <f>"19.01.2006"</f>
        <v>19.01.2006</v>
      </c>
      <c r="H242" t="s">
        <v>4989</v>
      </c>
      <c r="I242" t="s">
        <v>4990</v>
      </c>
      <c r="J242" t="s">
        <v>4991</v>
      </c>
      <c r="K242" t="s">
        <v>3460</v>
      </c>
    </row>
    <row r="243" spans="1:11" x14ac:dyDescent="0.2">
      <c r="A243" t="s">
        <v>4992</v>
      </c>
      <c r="B243" t="s">
        <v>4993</v>
      </c>
      <c r="C243" t="s">
        <v>4994</v>
      </c>
      <c r="D243" t="str">
        <f>"02130"</f>
        <v>02130</v>
      </c>
      <c r="E243" t="s">
        <v>3413</v>
      </c>
      <c r="F243" t="s">
        <v>4995</v>
      </c>
      <c r="G243" t="str">
        <f>"14.02.2002"</f>
        <v>14.02.2002</v>
      </c>
      <c r="H243" t="s">
        <v>4996</v>
      </c>
      <c r="I243" t="s">
        <v>4997</v>
      </c>
      <c r="J243" t="s">
        <v>4998</v>
      </c>
      <c r="K243" t="s">
        <v>19</v>
      </c>
    </row>
    <row r="244" spans="1:11" x14ac:dyDescent="0.2">
      <c r="A244" t="s">
        <v>4999</v>
      </c>
      <c r="B244" t="s">
        <v>5000</v>
      </c>
      <c r="C244" t="s">
        <v>5001</v>
      </c>
      <c r="D244" t="str">
        <f>"00100"</f>
        <v>00100</v>
      </c>
      <c r="E244" t="s">
        <v>3417</v>
      </c>
      <c r="F244" t="s">
        <v>5002</v>
      </c>
      <c r="G244" t="str">
        <f>"12.09.2014"</f>
        <v>12.09.2014</v>
      </c>
      <c r="H244" t="s">
        <v>5003</v>
      </c>
      <c r="I244" t="s">
        <v>5004</v>
      </c>
      <c r="J244" t="s">
        <v>5005</v>
      </c>
      <c r="K244" t="s">
        <v>5006</v>
      </c>
    </row>
    <row r="245" spans="1:11" x14ac:dyDescent="0.2">
      <c r="A245" t="s">
        <v>5007</v>
      </c>
      <c r="B245" t="s">
        <v>5008</v>
      </c>
      <c r="C245" t="s">
        <v>3524</v>
      </c>
      <c r="D245" t="str">
        <f>"00180"</f>
        <v>00180</v>
      </c>
      <c r="E245" t="s">
        <v>3417</v>
      </c>
      <c r="F245" t="s">
        <v>5009</v>
      </c>
      <c r="G245" t="str">
        <f>"05.02.2019"</f>
        <v>05.02.2019</v>
      </c>
      <c r="H245" t="s">
        <v>5010</v>
      </c>
      <c r="I245" t="s">
        <v>5011</v>
      </c>
      <c r="J245" t="s">
        <v>5012</v>
      </c>
      <c r="K245" t="s">
        <v>19</v>
      </c>
    </row>
    <row r="246" spans="1:11" x14ac:dyDescent="0.2">
      <c r="A246" t="s">
        <v>5013</v>
      </c>
      <c r="B246" t="s">
        <v>5014</v>
      </c>
      <c r="C246" t="s">
        <v>5015</v>
      </c>
      <c r="D246" t="str">
        <f>"40740"</f>
        <v>40740</v>
      </c>
      <c r="F246" t="s">
        <v>5016</v>
      </c>
      <c r="G246" t="str">
        <f>"19.08.2011"</f>
        <v>19.08.2011</v>
      </c>
      <c r="H246" t="s">
        <v>5017</v>
      </c>
      <c r="I246" t="s">
        <v>5018</v>
      </c>
      <c r="J246" t="s">
        <v>5019</v>
      </c>
      <c r="K246" t="s">
        <v>19</v>
      </c>
    </row>
    <row r="247" spans="1:11" x14ac:dyDescent="0.2">
      <c r="A247" t="s">
        <v>5020</v>
      </c>
      <c r="B247" t="s">
        <v>5021</v>
      </c>
      <c r="C247" t="s">
        <v>5022</v>
      </c>
      <c r="D247" t="str">
        <f>"20540"</f>
        <v>20540</v>
      </c>
      <c r="E247" t="s">
        <v>3639</v>
      </c>
      <c r="F247" t="s">
        <v>5023</v>
      </c>
      <c r="G247" t="str">
        <f>"31.08.2000"</f>
        <v>31.08.2000</v>
      </c>
      <c r="H247" t="s">
        <v>5024</v>
      </c>
      <c r="I247" t="s">
        <v>5025</v>
      </c>
      <c r="J247" t="s">
        <v>5026</v>
      </c>
      <c r="K247" t="s">
        <v>19</v>
      </c>
    </row>
    <row r="248" spans="1:11" x14ac:dyDescent="0.2">
      <c r="A248" t="s">
        <v>5027</v>
      </c>
      <c r="B248" t="s">
        <v>5028</v>
      </c>
      <c r="C248" t="s">
        <v>5029</v>
      </c>
      <c r="D248" t="str">
        <f>"00130"</f>
        <v>00130</v>
      </c>
      <c r="E248" t="s">
        <v>3417</v>
      </c>
      <c r="F248" t="s">
        <v>5030</v>
      </c>
      <c r="G248" t="str">
        <f>"02.07.2013"</f>
        <v>02.07.2013</v>
      </c>
      <c r="H248" t="s">
        <v>5031</v>
      </c>
      <c r="I248" t="s">
        <v>5032</v>
      </c>
      <c r="J248" t="s">
        <v>5033</v>
      </c>
      <c r="K248" t="s">
        <v>5034</v>
      </c>
    </row>
    <row r="249" spans="1:11" x14ac:dyDescent="0.2">
      <c r="A249" t="s">
        <v>5035</v>
      </c>
      <c r="B249" t="s">
        <v>5036</v>
      </c>
      <c r="C249" t="s">
        <v>5037</v>
      </c>
      <c r="D249" t="str">
        <f>"80100"</f>
        <v>80100</v>
      </c>
      <c r="E249" t="s">
        <v>5038</v>
      </c>
      <c r="F249" t="s">
        <v>5039</v>
      </c>
      <c r="G249" t="str">
        <f>"08.12.2003"</f>
        <v>08.12.2003</v>
      </c>
      <c r="H249" t="s">
        <v>5040</v>
      </c>
      <c r="I249" t="s">
        <v>5041</v>
      </c>
      <c r="J249" t="s">
        <v>5042</v>
      </c>
      <c r="K249" t="s">
        <v>19</v>
      </c>
    </row>
    <row r="250" spans="1:11" x14ac:dyDescent="0.2">
      <c r="A250" t="s">
        <v>5043</v>
      </c>
      <c r="B250" t="s">
        <v>5044</v>
      </c>
      <c r="C250" t="s">
        <v>4106</v>
      </c>
      <c r="D250" t="str">
        <f>"00520"</f>
        <v>00520</v>
      </c>
      <c r="E250" t="s">
        <v>3417</v>
      </c>
      <c r="F250" t="s">
        <v>5045</v>
      </c>
      <c r="G250" t="str">
        <f>"09.11.2001"</f>
        <v>09.11.2001</v>
      </c>
      <c r="H250" t="s">
        <v>5046</v>
      </c>
      <c r="I250" t="s">
        <v>5047</v>
      </c>
      <c r="J250" t="s">
        <v>5048</v>
      </c>
      <c r="K250" t="s">
        <v>5049</v>
      </c>
    </row>
    <row r="251" spans="1:11" x14ac:dyDescent="0.2">
      <c r="A251" t="s">
        <v>5050</v>
      </c>
      <c r="B251" t="s">
        <v>5051</v>
      </c>
      <c r="C251" t="s">
        <v>5052</v>
      </c>
      <c r="D251" t="str">
        <f>"20100"</f>
        <v>20100</v>
      </c>
      <c r="E251" t="s">
        <v>3639</v>
      </c>
      <c r="F251" t="s">
        <v>5053</v>
      </c>
      <c r="G251" t="str">
        <f>"06.10.2016"</f>
        <v>06.10.2016</v>
      </c>
      <c r="H251" t="s">
        <v>5054</v>
      </c>
      <c r="I251" t="s">
        <v>5055</v>
      </c>
      <c r="J251" t="s">
        <v>5056</v>
      </c>
      <c r="K251" t="s">
        <v>19</v>
      </c>
    </row>
    <row r="252" spans="1:11" x14ac:dyDescent="0.2">
      <c r="A252" t="s">
        <v>5057</v>
      </c>
      <c r="B252" t="s">
        <v>5058</v>
      </c>
      <c r="C252" t="s">
        <v>3677</v>
      </c>
      <c r="D252" t="str">
        <f>"00101"</f>
        <v>00101</v>
      </c>
      <c r="E252" t="s">
        <v>3417</v>
      </c>
      <c r="F252" t="s">
        <v>5059</v>
      </c>
      <c r="G252" t="str">
        <f>"19.10.2012"</f>
        <v>19.10.2012</v>
      </c>
      <c r="H252" t="s">
        <v>5060</v>
      </c>
      <c r="I252" t="s">
        <v>5061</v>
      </c>
      <c r="J252" t="s">
        <v>5062</v>
      </c>
      <c r="K252" t="s">
        <v>19</v>
      </c>
    </row>
    <row r="253" spans="1:11" x14ac:dyDescent="0.2">
      <c r="A253" t="s">
        <v>5063</v>
      </c>
      <c r="B253" t="s">
        <v>5064</v>
      </c>
      <c r="C253" t="s">
        <v>4085</v>
      </c>
      <c r="D253" t="str">
        <f>"00120"</f>
        <v>00120</v>
      </c>
      <c r="E253" t="s">
        <v>3417</v>
      </c>
      <c r="F253" t="s">
        <v>5065</v>
      </c>
      <c r="G253" t="str">
        <f>"11.09.2007"</f>
        <v>11.09.2007</v>
      </c>
      <c r="H253" t="s">
        <v>5066</v>
      </c>
      <c r="I253" t="s">
        <v>5067</v>
      </c>
      <c r="J253" t="s">
        <v>5068</v>
      </c>
      <c r="K253" t="s">
        <v>4311</v>
      </c>
    </row>
    <row r="254" spans="1:11" x14ac:dyDescent="0.2">
      <c r="A254" t="s">
        <v>5069</v>
      </c>
      <c r="B254" t="s">
        <v>5070</v>
      </c>
      <c r="C254" t="s">
        <v>5071</v>
      </c>
      <c r="D254" t="str">
        <f>"00180"</f>
        <v>00180</v>
      </c>
      <c r="E254" t="s">
        <v>3417</v>
      </c>
      <c r="F254" t="s">
        <v>5072</v>
      </c>
      <c r="G254" t="str">
        <f>"20.05.2014"</f>
        <v>20.05.2014</v>
      </c>
      <c r="H254" t="s">
        <v>5073</v>
      </c>
      <c r="I254" t="s">
        <v>5074</v>
      </c>
      <c r="J254" t="s">
        <v>5075</v>
      </c>
      <c r="K254" t="s">
        <v>19</v>
      </c>
    </row>
    <row r="255" spans="1:11" x14ac:dyDescent="0.2">
      <c r="A255" t="s">
        <v>5076</v>
      </c>
      <c r="B255" t="s">
        <v>5077</v>
      </c>
      <c r="C255" t="s">
        <v>5078</v>
      </c>
      <c r="D255" t="str">
        <f>"02150"</f>
        <v>02150</v>
      </c>
      <c r="E255" t="s">
        <v>3413</v>
      </c>
      <c r="F255" t="s">
        <v>5079</v>
      </c>
      <c r="G255" t="str">
        <f>"27.09.2013"</f>
        <v>27.09.2013</v>
      </c>
      <c r="H255" t="s">
        <v>5080</v>
      </c>
      <c r="I255" t="s">
        <v>5081</v>
      </c>
      <c r="J255" t="s">
        <v>5082</v>
      </c>
      <c r="K255" t="s">
        <v>19</v>
      </c>
    </row>
    <row r="256" spans="1:11" x14ac:dyDescent="0.2">
      <c r="A256" t="s">
        <v>5083</v>
      </c>
      <c r="B256" t="s">
        <v>5084</v>
      </c>
      <c r="C256" t="s">
        <v>5085</v>
      </c>
      <c r="D256" t="str">
        <f>"90100"</f>
        <v>90100</v>
      </c>
      <c r="E256" t="s">
        <v>3972</v>
      </c>
      <c r="F256" t="s">
        <v>5086</v>
      </c>
      <c r="G256" t="str">
        <f>"16.01.2006"</f>
        <v>16.01.2006</v>
      </c>
      <c r="H256" t="s">
        <v>5087</v>
      </c>
      <c r="I256" t="s">
        <v>5088</v>
      </c>
      <c r="J256" t="s">
        <v>5089</v>
      </c>
      <c r="K256" t="s">
        <v>5090</v>
      </c>
    </row>
    <row r="257" spans="1:11" x14ac:dyDescent="0.2">
      <c r="A257" t="s">
        <v>5091</v>
      </c>
      <c r="B257" t="s">
        <v>5092</v>
      </c>
      <c r="C257" t="s">
        <v>5093</v>
      </c>
      <c r="D257" t="str">
        <f>"00400"</f>
        <v>00400</v>
      </c>
      <c r="E257" t="s">
        <v>3417</v>
      </c>
      <c r="F257" t="s">
        <v>5094</v>
      </c>
      <c r="G257" t="str">
        <f>"18.07.2002"</f>
        <v>18.07.2002</v>
      </c>
      <c r="H257" t="s">
        <v>5095</v>
      </c>
      <c r="I257" t="s">
        <v>5096</v>
      </c>
      <c r="J257" t="s">
        <v>5097</v>
      </c>
      <c r="K257" t="s">
        <v>3460</v>
      </c>
    </row>
    <row r="258" spans="1:11" x14ac:dyDescent="0.2">
      <c r="A258" t="s">
        <v>5098</v>
      </c>
      <c r="B258" t="s">
        <v>5099</v>
      </c>
      <c r="C258" t="s">
        <v>5100</v>
      </c>
      <c r="D258" t="str">
        <f>"00100"</f>
        <v>00100</v>
      </c>
      <c r="E258" t="s">
        <v>3417</v>
      </c>
      <c r="F258" t="s">
        <v>5101</v>
      </c>
      <c r="G258" t="str">
        <f>"26.06.2013"</f>
        <v>26.06.2013</v>
      </c>
      <c r="H258" t="s">
        <v>5102</v>
      </c>
      <c r="I258" t="s">
        <v>5103</v>
      </c>
      <c r="J258" t="s">
        <v>5104</v>
      </c>
      <c r="K258" t="s">
        <v>3506</v>
      </c>
    </row>
    <row r="259" spans="1:11" x14ac:dyDescent="0.2">
      <c r="A259" t="s">
        <v>5105</v>
      </c>
      <c r="B259" t="s">
        <v>5106</v>
      </c>
      <c r="C259" t="s">
        <v>5107</v>
      </c>
      <c r="D259" t="str">
        <f>"28100"</f>
        <v>28100</v>
      </c>
      <c r="E259" t="s">
        <v>3433</v>
      </c>
      <c r="F259" t="s">
        <v>5108</v>
      </c>
      <c r="G259" t="str">
        <f>"02.07.2012"</f>
        <v>02.07.2012</v>
      </c>
      <c r="H259" t="s">
        <v>5109</v>
      </c>
      <c r="I259" t="s">
        <v>5110</v>
      </c>
      <c r="J259" t="s">
        <v>5111</v>
      </c>
      <c r="K259" t="s">
        <v>3460</v>
      </c>
    </row>
    <row r="260" spans="1:11" x14ac:dyDescent="0.2">
      <c r="A260" t="s">
        <v>5112</v>
      </c>
      <c r="B260" t="s">
        <v>5113</v>
      </c>
      <c r="C260" t="s">
        <v>5114</v>
      </c>
      <c r="D260" t="str">
        <f>"02610"</f>
        <v>02610</v>
      </c>
      <c r="E260" t="s">
        <v>3413</v>
      </c>
      <c r="F260" t="s">
        <v>5115</v>
      </c>
      <c r="G260" t="str">
        <f>"07.09.2016"</f>
        <v>07.09.2016</v>
      </c>
      <c r="H260" t="s">
        <v>5116</v>
      </c>
      <c r="I260" t="s">
        <v>5117</v>
      </c>
      <c r="J260" t="s">
        <v>5118</v>
      </c>
      <c r="K260" t="s">
        <v>19</v>
      </c>
    </row>
    <row r="261" spans="1:11" x14ac:dyDescent="0.2">
      <c r="A261" t="s">
        <v>5119</v>
      </c>
      <c r="B261" t="s">
        <v>5120</v>
      </c>
      <c r="C261" t="s">
        <v>5121</v>
      </c>
      <c r="D261" t="str">
        <f>"02130"</f>
        <v>02130</v>
      </c>
      <c r="E261" t="s">
        <v>3413</v>
      </c>
      <c r="F261" t="s">
        <v>5122</v>
      </c>
      <c r="G261" t="str">
        <f>"05.05.2015"</f>
        <v>05.05.2015</v>
      </c>
      <c r="H261" t="s">
        <v>5123</v>
      </c>
      <c r="I261" t="s">
        <v>5124</v>
      </c>
      <c r="J261" t="s">
        <v>5125</v>
      </c>
      <c r="K261" t="s">
        <v>19</v>
      </c>
    </row>
    <row r="262" spans="1:11" x14ac:dyDescent="0.2">
      <c r="A262" t="s">
        <v>5126</v>
      </c>
      <c r="B262" t="s">
        <v>5127</v>
      </c>
      <c r="C262" t="s">
        <v>5128</v>
      </c>
      <c r="D262" t="str">
        <f>"04300"</f>
        <v>04300</v>
      </c>
      <c r="E262" t="s">
        <v>5129</v>
      </c>
      <c r="F262" t="s">
        <v>5130</v>
      </c>
      <c r="G262" t="str">
        <f>"07.03.2014"</f>
        <v>07.03.2014</v>
      </c>
      <c r="H262" t="s">
        <v>5131</v>
      </c>
      <c r="I262" t="s">
        <v>5132</v>
      </c>
      <c r="J262" t="s">
        <v>5133</v>
      </c>
      <c r="K262" t="s">
        <v>3460</v>
      </c>
    </row>
    <row r="263" spans="1:11" x14ac:dyDescent="0.2">
      <c r="A263" t="s">
        <v>5134</v>
      </c>
      <c r="B263" t="s">
        <v>5135</v>
      </c>
      <c r="C263" t="s">
        <v>4594</v>
      </c>
      <c r="D263" t="str">
        <f>"00076"</f>
        <v>00076</v>
      </c>
      <c r="E263" t="s">
        <v>4595</v>
      </c>
      <c r="F263" t="s">
        <v>5136</v>
      </c>
      <c r="G263" t="str">
        <f>"23.05.2016"</f>
        <v>23.05.2016</v>
      </c>
      <c r="H263" t="s">
        <v>5137</v>
      </c>
      <c r="I263" t="s">
        <v>5138</v>
      </c>
      <c r="J263" t="s">
        <v>5139</v>
      </c>
      <c r="K263" t="s">
        <v>3725</v>
      </c>
    </row>
    <row r="264" spans="1:11" x14ac:dyDescent="0.2">
      <c r="A264" t="s">
        <v>5140</v>
      </c>
      <c r="B264" t="s">
        <v>5141</v>
      </c>
      <c r="C264" t="s">
        <v>5142</v>
      </c>
      <c r="D264" t="str">
        <f>"00990"</f>
        <v>00990</v>
      </c>
      <c r="E264" t="s">
        <v>3417</v>
      </c>
      <c r="F264" t="s">
        <v>5143</v>
      </c>
      <c r="G264" t="str">
        <f>"15.10.2013"</f>
        <v>15.10.2013</v>
      </c>
      <c r="H264" t="s">
        <v>5144</v>
      </c>
      <c r="I264" t="s">
        <v>5145</v>
      </c>
      <c r="J264" t="s">
        <v>5146</v>
      </c>
      <c r="K264" t="s">
        <v>19</v>
      </c>
    </row>
    <row r="265" spans="1:11" x14ac:dyDescent="0.2">
      <c r="A265" t="s">
        <v>5147</v>
      </c>
      <c r="B265" t="s">
        <v>5148</v>
      </c>
      <c r="C265" t="s">
        <v>5149</v>
      </c>
      <c r="D265" t="str">
        <f>"02150"</f>
        <v>02150</v>
      </c>
      <c r="E265" t="s">
        <v>3413</v>
      </c>
      <c r="F265" t="s">
        <v>5150</v>
      </c>
      <c r="G265" t="str">
        <f>"30.11.2009"</f>
        <v>30.11.2009</v>
      </c>
      <c r="H265" t="s">
        <v>5151</v>
      </c>
      <c r="I265" t="s">
        <v>5152</v>
      </c>
      <c r="J265" t="s">
        <v>5153</v>
      </c>
      <c r="K265" t="s">
        <v>5154</v>
      </c>
    </row>
    <row r="266" spans="1:11" x14ac:dyDescent="0.2">
      <c r="A266" t="s">
        <v>5155</v>
      </c>
      <c r="B266" t="s">
        <v>5156</v>
      </c>
      <c r="C266" t="s">
        <v>3524</v>
      </c>
      <c r="D266" t="str">
        <f>"00180"</f>
        <v>00180</v>
      </c>
      <c r="E266" t="s">
        <v>3417</v>
      </c>
      <c r="F266" t="s">
        <v>5157</v>
      </c>
      <c r="G266" t="str">
        <f>"08.11.2011"</f>
        <v>08.11.2011</v>
      </c>
      <c r="H266" t="s">
        <v>5158</v>
      </c>
      <c r="I266" t="s">
        <v>5159</v>
      </c>
      <c r="J266" t="s">
        <v>5160</v>
      </c>
      <c r="K266" t="s">
        <v>3506</v>
      </c>
    </row>
    <row r="267" spans="1:11" x14ac:dyDescent="0.2">
      <c r="A267" t="s">
        <v>5161</v>
      </c>
      <c r="B267" t="s">
        <v>5162</v>
      </c>
      <c r="C267" t="s">
        <v>5163</v>
      </c>
      <c r="D267" t="str">
        <f>"01530"</f>
        <v>01530</v>
      </c>
      <c r="E267" t="s">
        <v>3935</v>
      </c>
      <c r="F267" t="s">
        <v>5164</v>
      </c>
      <c r="G267" t="str">
        <f>"31.12.1994"</f>
        <v>31.12.1994</v>
      </c>
      <c r="H267" t="s">
        <v>5165</v>
      </c>
      <c r="I267" t="s">
        <v>5166</v>
      </c>
      <c r="J267" t="s">
        <v>5167</v>
      </c>
      <c r="K267" t="s">
        <v>3460</v>
      </c>
    </row>
    <row r="268" spans="1:11" x14ac:dyDescent="0.2">
      <c r="A268" t="s">
        <v>5168</v>
      </c>
      <c r="B268" t="s">
        <v>5169</v>
      </c>
      <c r="C268" t="s">
        <v>5170</v>
      </c>
      <c r="D268" t="str">
        <f>"70110"</f>
        <v>70110</v>
      </c>
      <c r="E268" t="s">
        <v>3920</v>
      </c>
      <c r="F268" t="s">
        <v>5171</v>
      </c>
      <c r="G268" t="str">
        <f>"11.04.2018"</f>
        <v>11.04.2018</v>
      </c>
      <c r="H268" t="s">
        <v>5172</v>
      </c>
      <c r="I268" t="s">
        <v>5173</v>
      </c>
      <c r="J268" t="s">
        <v>5174</v>
      </c>
      <c r="K268" t="s">
        <v>3506</v>
      </c>
    </row>
    <row r="269" spans="1:11" x14ac:dyDescent="0.2">
      <c r="A269" t="s">
        <v>5175</v>
      </c>
      <c r="B269" t="s">
        <v>5176</v>
      </c>
      <c r="C269" t="s">
        <v>5177</v>
      </c>
      <c r="D269" t="str">
        <f>"00380"</f>
        <v>00380</v>
      </c>
      <c r="E269" t="s">
        <v>3417</v>
      </c>
      <c r="F269" t="s">
        <v>5178</v>
      </c>
      <c r="G269" t="str">
        <f>"31.01.2011"</f>
        <v>31.01.2011</v>
      </c>
      <c r="H269" t="s">
        <v>5179</v>
      </c>
      <c r="I269" t="s">
        <v>5180</v>
      </c>
      <c r="J269" t="s">
        <v>5181</v>
      </c>
      <c r="K269" t="s">
        <v>3506</v>
      </c>
    </row>
  </sheetData>
  <phoneticPr fontId="3" type="noConversion"/>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zoomScale="93" workbookViewId="0">
      <selection activeCell="J27" sqref="J27"/>
    </sheetView>
  </sheetViews>
  <sheetFormatPr baseColWidth="10" defaultRowHeight="16" x14ac:dyDescent="0.2"/>
  <cols>
    <col min="1" max="1" width="29.1640625" customWidth="1"/>
    <col min="2" max="2" width="15.5" customWidth="1"/>
    <col min="6" max="6" width="22.5" customWidth="1"/>
    <col min="8" max="8" width="124.83203125" customWidth="1"/>
    <col min="10" max="10" width="104.83203125" customWidth="1"/>
  </cols>
  <sheetData>
    <row r="1" s="3" customFormat="1" x14ac:dyDescent="0.2"/>
    <row r="2" s="3" customFormat="1" x14ac:dyDescent="0.2"/>
    <row r="3" s="3" customFormat="1" x14ac:dyDescent="0.2"/>
    <row r="4" s="3" customFormat="1" x14ac:dyDescent="0.2"/>
    <row r="5" s="3" customFormat="1" x14ac:dyDescent="0.2"/>
    <row r="6" s="3" customFormat="1" x14ac:dyDescent="0.2"/>
    <row r="7" s="3" customFormat="1" x14ac:dyDescent="0.2"/>
    <row r="8" s="3" customFormat="1" x14ac:dyDescent="0.2"/>
    <row r="9" s="3" customFormat="1" x14ac:dyDescent="0.2"/>
    <row r="10" s="3" customFormat="1" x14ac:dyDescent="0.2"/>
    <row r="11" s="3" customFormat="1" x14ac:dyDescent="0.2"/>
    <row r="12" s="3" customFormat="1" x14ac:dyDescent="0.2"/>
    <row r="13" s="3" customFormat="1" x14ac:dyDescent="0.2"/>
    <row r="14" s="3" customFormat="1" x14ac:dyDescent="0.2"/>
    <row r="15" s="3" customFormat="1" x14ac:dyDescent="0.2"/>
    <row r="16" s="3" customFormat="1" x14ac:dyDescent="0.2"/>
    <row r="17" spans="1:11" s="3" customFormat="1" x14ac:dyDescent="0.2"/>
    <row r="18" spans="1:11" s="3" customFormat="1" x14ac:dyDescent="0.2"/>
    <row r="19" spans="1:11" s="2" customFormat="1" x14ac:dyDescent="0.2">
      <c r="A19" s="2" t="s">
        <v>0</v>
      </c>
      <c r="B19" s="2" t="s">
        <v>1</v>
      </c>
      <c r="C19" s="2" t="s">
        <v>2</v>
      </c>
      <c r="D19" s="2" t="s">
        <v>3</v>
      </c>
      <c r="E19" s="2" t="s">
        <v>4</v>
      </c>
      <c r="F19" s="2" t="s">
        <v>5</v>
      </c>
      <c r="G19" s="2" t="s">
        <v>6</v>
      </c>
      <c r="H19" s="2" t="s">
        <v>7</v>
      </c>
      <c r="I19" s="2" t="s">
        <v>8</v>
      </c>
      <c r="J19" s="2" t="s">
        <v>9</v>
      </c>
      <c r="K19" s="2" t="s">
        <v>10</v>
      </c>
    </row>
    <row r="20" spans="1:11" x14ac:dyDescent="0.2">
      <c r="A20" t="s">
        <v>1880</v>
      </c>
      <c r="B20">
        <v>5568980782</v>
      </c>
      <c r="C20" t="s">
        <v>1881</v>
      </c>
      <c r="D20" t="str">
        <f>"83796"</f>
        <v>83796</v>
      </c>
      <c r="E20" t="s">
        <v>1882</v>
      </c>
      <c r="F20" t="s">
        <v>1884</v>
      </c>
      <c r="G20" t="str">
        <f>"03.07.2012"</f>
        <v>03.07.2012</v>
      </c>
      <c r="H20" t="s">
        <v>1885</v>
      </c>
      <c r="I20" t="s">
        <v>1886</v>
      </c>
      <c r="J20" t="s">
        <v>1887</v>
      </c>
      <c r="K20" t="s">
        <v>19</v>
      </c>
    </row>
    <row r="21" spans="1:11" x14ac:dyDescent="0.2">
      <c r="A21" t="s">
        <v>1888</v>
      </c>
      <c r="B21">
        <v>5562175157</v>
      </c>
      <c r="C21" t="s">
        <v>1889</v>
      </c>
      <c r="D21" t="str">
        <f>"41104"</f>
        <v>41104</v>
      </c>
      <c r="E21" t="s">
        <v>1890</v>
      </c>
      <c r="F21" t="s">
        <v>7024</v>
      </c>
      <c r="G21" t="str">
        <f>"12.05.1982"</f>
        <v>12.05.1982</v>
      </c>
      <c r="H21" t="s">
        <v>7025</v>
      </c>
      <c r="I21" t="s">
        <v>1892</v>
      </c>
      <c r="J21" t="s">
        <v>1893</v>
      </c>
      <c r="K21" t="s">
        <v>1894</v>
      </c>
    </row>
    <row r="22" spans="1:11" x14ac:dyDescent="0.2">
      <c r="A22" t="s">
        <v>1895</v>
      </c>
      <c r="B22">
        <v>5567715957</v>
      </c>
      <c r="C22" t="s">
        <v>1896</v>
      </c>
      <c r="D22" t="str">
        <f>"43362"</f>
        <v>43362</v>
      </c>
      <c r="E22" t="s">
        <v>1897</v>
      </c>
      <c r="F22" t="s">
        <v>1898</v>
      </c>
      <c r="G22" t="str">
        <f>"04.12.2008"</f>
        <v>04.12.2008</v>
      </c>
      <c r="H22" t="s">
        <v>1899</v>
      </c>
      <c r="I22" t="s">
        <v>1900</v>
      </c>
      <c r="J22" t="s">
        <v>1901</v>
      </c>
      <c r="K22" t="s">
        <v>1894</v>
      </c>
    </row>
    <row r="23" spans="1:11" x14ac:dyDescent="0.2">
      <c r="A23" t="s">
        <v>1902</v>
      </c>
      <c r="B23">
        <v>5569512451</v>
      </c>
      <c r="C23" t="s">
        <v>1903</v>
      </c>
      <c r="D23" t="str">
        <f>"41138"</f>
        <v>41138</v>
      </c>
      <c r="E23" t="s">
        <v>1890</v>
      </c>
      <c r="F23" t="s">
        <v>1904</v>
      </c>
      <c r="G23" t="str">
        <f>"02.12.2013"</f>
        <v>02.12.2013</v>
      </c>
      <c r="H23" t="s">
        <v>1905</v>
      </c>
      <c r="I23" t="s">
        <v>1906</v>
      </c>
      <c r="J23" t="s">
        <v>1907</v>
      </c>
      <c r="K23" t="s">
        <v>19</v>
      </c>
    </row>
    <row r="24" spans="1:11" x14ac:dyDescent="0.2">
      <c r="A24" t="s">
        <v>1908</v>
      </c>
      <c r="B24">
        <v>5592030992</v>
      </c>
      <c r="C24" t="s">
        <v>1909</v>
      </c>
      <c r="D24" t="str">
        <f>"16870"</f>
        <v>16870</v>
      </c>
      <c r="E24" t="s">
        <v>1910</v>
      </c>
      <c r="F24" t="s">
        <v>1911</v>
      </c>
      <c r="G24" t="str">
        <f>"18.04.2019"</f>
        <v>18.04.2019</v>
      </c>
      <c r="H24" t="s">
        <v>1912</v>
      </c>
      <c r="I24" t="s">
        <v>1913</v>
      </c>
      <c r="J24" t="s">
        <v>1914</v>
      </c>
      <c r="K24" t="s">
        <v>1894</v>
      </c>
    </row>
    <row r="25" spans="1:11" x14ac:dyDescent="0.2">
      <c r="A25" t="s">
        <v>1915</v>
      </c>
      <c r="B25">
        <v>5569427338</v>
      </c>
      <c r="C25" t="s">
        <v>1916</v>
      </c>
      <c r="D25" t="str">
        <f>"11152"</f>
        <v>11152</v>
      </c>
      <c r="E25" t="s">
        <v>1883</v>
      </c>
      <c r="F25" t="s">
        <v>1917</v>
      </c>
      <c r="G25" t="str">
        <f>"18.09.2013"</f>
        <v>18.09.2013</v>
      </c>
      <c r="H25" t="s">
        <v>1918</v>
      </c>
      <c r="I25" t="s">
        <v>1919</v>
      </c>
      <c r="J25" t="s">
        <v>1920</v>
      </c>
      <c r="K25" t="s">
        <v>19</v>
      </c>
    </row>
    <row r="26" spans="1:11" x14ac:dyDescent="0.2">
      <c r="A26" t="s">
        <v>1921</v>
      </c>
      <c r="B26">
        <v>5592257132</v>
      </c>
      <c r="C26" t="s">
        <v>1922</v>
      </c>
      <c r="D26" t="str">
        <f>"11865"</f>
        <v>11865</v>
      </c>
      <c r="E26" t="s">
        <v>1883</v>
      </c>
      <c r="F26" t="s">
        <v>1923</v>
      </c>
      <c r="G26" t="str">
        <f>"07.11.2019"</f>
        <v>07.11.2019</v>
      </c>
      <c r="H26" t="s">
        <v>1924</v>
      </c>
      <c r="I26" t="s">
        <v>1925</v>
      </c>
      <c r="J26" t="s">
        <v>1926</v>
      </c>
      <c r="K26" t="s">
        <v>1894</v>
      </c>
    </row>
    <row r="27" spans="1:11" x14ac:dyDescent="0.2">
      <c r="A27" t="s">
        <v>1927</v>
      </c>
      <c r="B27">
        <v>5591038178</v>
      </c>
      <c r="C27" t="s">
        <v>1928</v>
      </c>
      <c r="D27" t="str">
        <f>"10631"</f>
        <v>10631</v>
      </c>
      <c r="E27" t="s">
        <v>1883</v>
      </c>
      <c r="F27" t="s">
        <v>1929</v>
      </c>
      <c r="G27" t="str">
        <f>"08.03.2017"</f>
        <v>08.03.2017</v>
      </c>
      <c r="H27" t="s">
        <v>1930</v>
      </c>
      <c r="I27" t="s">
        <v>1931</v>
      </c>
      <c r="J27" t="s">
        <v>1932</v>
      </c>
      <c r="K27" t="s">
        <v>1894</v>
      </c>
    </row>
    <row r="28" spans="1:11" x14ac:dyDescent="0.2">
      <c r="A28" t="s">
        <v>1933</v>
      </c>
      <c r="B28">
        <v>5569649287</v>
      </c>
      <c r="C28" t="s">
        <v>1934</v>
      </c>
      <c r="D28" t="str">
        <f>"41755"</f>
        <v>41755</v>
      </c>
      <c r="E28" t="s">
        <v>1890</v>
      </c>
      <c r="F28" t="s">
        <v>1935</v>
      </c>
      <c r="G28" t="str">
        <f>"12.03.2014"</f>
        <v>12.03.2014</v>
      </c>
      <c r="H28" t="s">
        <v>1936</v>
      </c>
      <c r="I28" t="s">
        <v>1937</v>
      </c>
      <c r="J28" t="s">
        <v>1938</v>
      </c>
      <c r="K28" t="s">
        <v>1894</v>
      </c>
    </row>
    <row r="29" spans="1:11" x14ac:dyDescent="0.2">
      <c r="A29" t="s">
        <v>1939</v>
      </c>
      <c r="B29">
        <v>5566155437</v>
      </c>
      <c r="C29" t="s">
        <v>1940</v>
      </c>
      <c r="D29" t="str">
        <f>"21120"</f>
        <v>21120</v>
      </c>
      <c r="E29" t="s">
        <v>1941</v>
      </c>
      <c r="F29" t="s">
        <v>1942</v>
      </c>
      <c r="G29" t="str">
        <f>"28.09.2001"</f>
        <v>28.09.2001</v>
      </c>
      <c r="H29" t="s">
        <v>1943</v>
      </c>
      <c r="I29" t="s">
        <v>1944</v>
      </c>
      <c r="J29" t="s">
        <v>1945</v>
      </c>
      <c r="K29" t="s">
        <v>1894</v>
      </c>
    </row>
    <row r="30" spans="1:11" x14ac:dyDescent="0.2">
      <c r="A30" t="s">
        <v>1946</v>
      </c>
      <c r="B30">
        <v>5590743596</v>
      </c>
      <c r="C30" t="s">
        <v>1947</v>
      </c>
      <c r="D30" t="str">
        <f>"41118"</f>
        <v>41118</v>
      </c>
      <c r="E30" t="s">
        <v>1890</v>
      </c>
      <c r="F30" t="s">
        <v>1948</v>
      </c>
      <c r="G30" t="str">
        <f>"31.08.2016"</f>
        <v>31.08.2016</v>
      </c>
      <c r="H30" t="s">
        <v>1949</v>
      </c>
      <c r="I30" t="s">
        <v>1950</v>
      </c>
      <c r="J30" t="s">
        <v>1951</v>
      </c>
      <c r="K30" t="s">
        <v>1050</v>
      </c>
    </row>
    <row r="31" spans="1:11" x14ac:dyDescent="0.2">
      <c r="A31" t="s">
        <v>1952</v>
      </c>
      <c r="B31">
        <v>5592214596</v>
      </c>
      <c r="C31" t="s">
        <v>1953</v>
      </c>
      <c r="D31" t="str">
        <f>"19145"</f>
        <v>19145</v>
      </c>
      <c r="E31" t="s">
        <v>1954</v>
      </c>
      <c r="F31" t="s">
        <v>1955</v>
      </c>
      <c r="G31" t="str">
        <f>"07.10.2019"</f>
        <v>07.10.2019</v>
      </c>
      <c r="H31" t="s">
        <v>1956</v>
      </c>
      <c r="I31" t="s">
        <v>1957</v>
      </c>
      <c r="J31" t="s">
        <v>1958</v>
      </c>
      <c r="K31" t="s">
        <v>19</v>
      </c>
    </row>
    <row r="32" spans="1:11" x14ac:dyDescent="0.2">
      <c r="A32" t="s">
        <v>1959</v>
      </c>
      <c r="B32">
        <v>5568017155</v>
      </c>
      <c r="C32" t="s">
        <v>1960</v>
      </c>
      <c r="D32" t="str">
        <f>"11152"</f>
        <v>11152</v>
      </c>
      <c r="E32" t="s">
        <v>1883</v>
      </c>
      <c r="F32" t="s">
        <v>1961</v>
      </c>
      <c r="G32" t="str">
        <f>"03.03.2010"</f>
        <v>03.03.2010</v>
      </c>
      <c r="H32" t="s">
        <v>1962</v>
      </c>
      <c r="I32" t="s">
        <v>1963</v>
      </c>
      <c r="J32" t="s">
        <v>1964</v>
      </c>
      <c r="K32" t="s">
        <v>1894</v>
      </c>
    </row>
    <row r="33" spans="1:11" x14ac:dyDescent="0.2">
      <c r="A33" t="s">
        <v>1965</v>
      </c>
      <c r="B33">
        <v>5567313126</v>
      </c>
      <c r="C33" t="s">
        <v>1966</v>
      </c>
      <c r="D33" t="str">
        <f>"11153"</f>
        <v>11153</v>
      </c>
      <c r="E33" t="s">
        <v>1883</v>
      </c>
      <c r="F33" t="s">
        <v>1967</v>
      </c>
      <c r="G33" t="str">
        <f>"05.06.2007"</f>
        <v>05.06.2007</v>
      </c>
      <c r="H33" t="s">
        <v>1968</v>
      </c>
      <c r="I33" t="s">
        <v>1969</v>
      </c>
      <c r="J33" t="s">
        <v>1970</v>
      </c>
      <c r="K33" t="s">
        <v>1894</v>
      </c>
    </row>
    <row r="34" spans="1:11" x14ac:dyDescent="0.2">
      <c r="A34" t="s">
        <v>1971</v>
      </c>
      <c r="B34">
        <v>5568171242</v>
      </c>
      <c r="C34" t="s">
        <v>1972</v>
      </c>
      <c r="D34" t="str">
        <f>"11234"</f>
        <v>11234</v>
      </c>
      <c r="E34" t="s">
        <v>1883</v>
      </c>
      <c r="F34" t="s">
        <v>1973</v>
      </c>
      <c r="G34" t="str">
        <f>"30.08.2010"</f>
        <v>30.08.2010</v>
      </c>
      <c r="H34" t="s">
        <v>1974</v>
      </c>
      <c r="I34" t="s">
        <v>1975</v>
      </c>
      <c r="J34" t="s">
        <v>1976</v>
      </c>
      <c r="K34" t="s">
        <v>1977</v>
      </c>
    </row>
    <row r="35" spans="1:11" x14ac:dyDescent="0.2">
      <c r="A35" t="s">
        <v>1978</v>
      </c>
      <c r="B35">
        <v>5567214175</v>
      </c>
      <c r="C35" t="s">
        <v>1979</v>
      </c>
      <c r="D35" t="str">
        <f>"41756"</f>
        <v>41756</v>
      </c>
      <c r="E35" t="s">
        <v>1890</v>
      </c>
      <c r="F35" t="s">
        <v>1980</v>
      </c>
      <c r="G35" t="str">
        <f>"23.01.2007"</f>
        <v>23.01.2007</v>
      </c>
      <c r="H35" t="s">
        <v>1981</v>
      </c>
      <c r="I35" t="s">
        <v>1982</v>
      </c>
      <c r="J35" t="s">
        <v>5</v>
      </c>
      <c r="K35" t="s">
        <v>1894</v>
      </c>
    </row>
    <row r="36" spans="1:11" x14ac:dyDescent="0.2">
      <c r="A36" t="s">
        <v>1983</v>
      </c>
      <c r="B36">
        <v>5591200679</v>
      </c>
      <c r="C36" t="s">
        <v>1984</v>
      </c>
      <c r="D36" t="str">
        <f>"41263"</f>
        <v>41263</v>
      </c>
      <c r="E36" t="s">
        <v>1890</v>
      </c>
      <c r="F36" t="s">
        <v>1985</v>
      </c>
      <c r="G36" t="str">
        <f>"24.07.2017"</f>
        <v>24.07.2017</v>
      </c>
      <c r="H36" t="s">
        <v>834</v>
      </c>
      <c r="I36" t="s">
        <v>1986</v>
      </c>
      <c r="J36" t="s">
        <v>1987</v>
      </c>
      <c r="K36" t="s">
        <v>1894</v>
      </c>
    </row>
    <row r="37" spans="1:11" x14ac:dyDescent="0.2">
      <c r="A37" t="s">
        <v>1988</v>
      </c>
      <c r="B37">
        <v>5590038468</v>
      </c>
      <c r="C37" t="s">
        <v>1989</v>
      </c>
      <c r="D37" t="str">
        <f>"12647"</f>
        <v>12647</v>
      </c>
      <c r="E37" t="s">
        <v>1990</v>
      </c>
      <c r="F37" t="s">
        <v>1991</v>
      </c>
      <c r="G37" t="str">
        <f>"12.02.2015"</f>
        <v>12.02.2015</v>
      </c>
      <c r="H37" t="s">
        <v>1992</v>
      </c>
      <c r="I37" t="s">
        <v>1993</v>
      </c>
      <c r="J37" t="s">
        <v>1994</v>
      </c>
      <c r="K37" t="s">
        <v>1894</v>
      </c>
    </row>
    <row r="38" spans="1:11" x14ac:dyDescent="0.2">
      <c r="A38" t="s">
        <v>1995</v>
      </c>
      <c r="B38">
        <v>5590750245</v>
      </c>
      <c r="C38" t="s">
        <v>1996</v>
      </c>
      <c r="D38" t="str">
        <f>"17141"</f>
        <v>17141</v>
      </c>
      <c r="E38" t="s">
        <v>1997</v>
      </c>
      <c r="F38" t="s">
        <v>1998</v>
      </c>
      <c r="G38" t="str">
        <f>"05.09.2016"</f>
        <v>05.09.2016</v>
      </c>
      <c r="H38" t="s">
        <v>1999</v>
      </c>
      <c r="I38" t="s">
        <v>2000</v>
      </c>
      <c r="J38" t="s">
        <v>2001</v>
      </c>
      <c r="K38" t="s">
        <v>2002</v>
      </c>
    </row>
    <row r="39" spans="1:11" x14ac:dyDescent="0.2">
      <c r="A39" t="s">
        <v>2003</v>
      </c>
      <c r="B39">
        <v>5591527063</v>
      </c>
      <c r="C39" t="s">
        <v>2004</v>
      </c>
      <c r="D39" t="str">
        <f>"11620"</f>
        <v>11620</v>
      </c>
      <c r="E39" t="s">
        <v>1883</v>
      </c>
      <c r="F39" t="s">
        <v>2005</v>
      </c>
      <c r="G39" t="str">
        <f>"15.03.2018"</f>
        <v>15.03.2018</v>
      </c>
      <c r="H39" t="s">
        <v>2006</v>
      </c>
      <c r="I39" t="s">
        <v>2007</v>
      </c>
      <c r="J39" t="s">
        <v>2008</v>
      </c>
      <c r="K39" t="s">
        <v>19</v>
      </c>
    </row>
    <row r="40" spans="1:11" x14ac:dyDescent="0.2">
      <c r="A40" t="s">
        <v>2009</v>
      </c>
      <c r="B40">
        <v>5569306664</v>
      </c>
      <c r="C40" t="s">
        <v>2010</v>
      </c>
      <c r="D40" t="str">
        <f>"11621"</f>
        <v>11621</v>
      </c>
      <c r="E40" t="s">
        <v>1883</v>
      </c>
      <c r="F40" t="s">
        <v>2011</v>
      </c>
      <c r="G40" t="str">
        <f>"02.05.2013"</f>
        <v>02.05.2013</v>
      </c>
      <c r="H40" t="s">
        <v>1256</v>
      </c>
      <c r="I40" t="s">
        <v>2012</v>
      </c>
      <c r="J40" t="s">
        <v>2013</v>
      </c>
      <c r="K40" t="s">
        <v>1894</v>
      </c>
    </row>
    <row r="41" spans="1:11" x14ac:dyDescent="0.2">
      <c r="A41" t="s">
        <v>2014</v>
      </c>
      <c r="B41">
        <v>5568737877</v>
      </c>
      <c r="C41" t="s">
        <v>2015</v>
      </c>
      <c r="D41" t="str">
        <f>"41136"</f>
        <v>41136</v>
      </c>
      <c r="E41" t="s">
        <v>1890</v>
      </c>
      <c r="F41" t="s">
        <v>2016</v>
      </c>
      <c r="G41" t="str">
        <f>"29.11.2011"</f>
        <v>29.11.2011</v>
      </c>
      <c r="H41" t="s">
        <v>2017</v>
      </c>
      <c r="I41" t="s">
        <v>2018</v>
      </c>
      <c r="J41" t="s">
        <v>2019</v>
      </c>
      <c r="K41" t="s">
        <v>1894</v>
      </c>
    </row>
    <row r="42" spans="1:11" x14ac:dyDescent="0.2">
      <c r="A42" t="s">
        <v>2020</v>
      </c>
      <c r="B42">
        <v>5566834361</v>
      </c>
      <c r="C42" t="s">
        <v>2021</v>
      </c>
      <c r="D42" t="str">
        <f>"16751"</f>
        <v>16751</v>
      </c>
      <c r="E42" t="s">
        <v>1910</v>
      </c>
      <c r="F42" t="s">
        <v>2022</v>
      </c>
      <c r="G42" t="str">
        <f>"11.07.2005"</f>
        <v>11.07.2005</v>
      </c>
      <c r="H42" t="s">
        <v>2023</v>
      </c>
      <c r="I42" t="s">
        <v>2024</v>
      </c>
      <c r="J42" t="s">
        <v>2025</v>
      </c>
      <c r="K42" t="s">
        <v>2026</v>
      </c>
    </row>
    <row r="43" spans="1:11" x14ac:dyDescent="0.2">
      <c r="A43" t="s">
        <v>2027</v>
      </c>
      <c r="B43">
        <v>5563923332</v>
      </c>
      <c r="C43" t="s">
        <v>2028</v>
      </c>
      <c r="D43" t="str">
        <f>"10451"</f>
        <v>10451</v>
      </c>
      <c r="E43" t="s">
        <v>1883</v>
      </c>
      <c r="F43" t="s">
        <v>2029</v>
      </c>
      <c r="G43" t="str">
        <f>"11.05.1990"</f>
        <v>11.05.1990</v>
      </c>
      <c r="H43" t="s">
        <v>2030</v>
      </c>
      <c r="I43" t="s">
        <v>2031</v>
      </c>
      <c r="J43" t="s">
        <v>2032</v>
      </c>
      <c r="K43" t="s">
        <v>1894</v>
      </c>
    </row>
    <row r="44" spans="1:11" x14ac:dyDescent="0.2">
      <c r="A44" t="s">
        <v>2033</v>
      </c>
      <c r="B44">
        <v>5568026891</v>
      </c>
      <c r="C44" t="s">
        <v>2034</v>
      </c>
      <c r="D44" t="str">
        <f>"35229"</f>
        <v>35229</v>
      </c>
      <c r="E44" t="s">
        <v>2035</v>
      </c>
      <c r="F44" t="s">
        <v>2036</v>
      </c>
      <c r="G44" t="str">
        <f>"22.03.2010"</f>
        <v>22.03.2010</v>
      </c>
      <c r="H44" t="s">
        <v>2037</v>
      </c>
      <c r="I44" t="s">
        <v>2038</v>
      </c>
      <c r="J44" t="s">
        <v>2039</v>
      </c>
      <c r="K44" t="s">
        <v>1894</v>
      </c>
    </row>
    <row r="45" spans="1:11" x14ac:dyDescent="0.2">
      <c r="A45" t="s">
        <v>2040</v>
      </c>
      <c r="B45">
        <v>5590019179</v>
      </c>
      <c r="C45" t="s">
        <v>2041</v>
      </c>
      <c r="D45" t="str">
        <f>"16751"</f>
        <v>16751</v>
      </c>
      <c r="E45" t="s">
        <v>1910</v>
      </c>
      <c r="F45" t="s">
        <v>2042</v>
      </c>
      <c r="G45" t="str">
        <f>"28.01.2015"</f>
        <v>28.01.2015</v>
      </c>
      <c r="H45" t="s">
        <v>2043</v>
      </c>
      <c r="I45" t="s">
        <v>2044</v>
      </c>
      <c r="J45" t="s">
        <v>2045</v>
      </c>
      <c r="K45" t="s">
        <v>2002</v>
      </c>
    </row>
    <row r="46" spans="1:11" x14ac:dyDescent="0.2">
      <c r="A46" t="s">
        <v>2046</v>
      </c>
      <c r="B46">
        <v>5568220635</v>
      </c>
      <c r="C46" t="s">
        <v>2047</v>
      </c>
      <c r="D46" t="str">
        <f>"41505"</f>
        <v>41505</v>
      </c>
      <c r="E46" t="s">
        <v>1890</v>
      </c>
      <c r="F46" t="s">
        <v>2048</v>
      </c>
      <c r="G46" t="str">
        <f>"27.10.2010"</f>
        <v>27.10.2010</v>
      </c>
      <c r="H46" t="s">
        <v>2049</v>
      </c>
      <c r="I46" t="s">
        <v>2050</v>
      </c>
      <c r="J46" t="s">
        <v>2051</v>
      </c>
      <c r="K46" t="s">
        <v>1894</v>
      </c>
    </row>
    <row r="47" spans="1:11" x14ac:dyDescent="0.2">
      <c r="A47" t="s">
        <v>2052</v>
      </c>
      <c r="B47">
        <v>5590429642</v>
      </c>
      <c r="C47" t="s">
        <v>2053</v>
      </c>
      <c r="D47" t="str">
        <f>"55318"</f>
        <v>55318</v>
      </c>
      <c r="E47" t="s">
        <v>2054</v>
      </c>
      <c r="F47" t="s">
        <v>2055</v>
      </c>
      <c r="G47" t="str">
        <f>"18.12.2015"</f>
        <v>18.12.2015</v>
      </c>
      <c r="H47" t="s">
        <v>2056</v>
      </c>
      <c r="I47" t="s">
        <v>2057</v>
      </c>
      <c r="J47" t="s">
        <v>2058</v>
      </c>
      <c r="K47" t="s">
        <v>19</v>
      </c>
    </row>
    <row r="48" spans="1:11" x14ac:dyDescent="0.2">
      <c r="A48" t="s">
        <v>2059</v>
      </c>
      <c r="B48">
        <v>5591815914</v>
      </c>
      <c r="C48" t="s">
        <v>2060</v>
      </c>
      <c r="D48" t="str">
        <f>"11138"</f>
        <v>11138</v>
      </c>
      <c r="E48" t="s">
        <v>1883</v>
      </c>
      <c r="F48" t="s">
        <v>2061</v>
      </c>
      <c r="G48" t="str">
        <f>"26.11.2018"</f>
        <v>26.11.2018</v>
      </c>
      <c r="H48" t="s">
        <v>2062</v>
      </c>
      <c r="I48" t="s">
        <v>2063</v>
      </c>
      <c r="J48" t="s">
        <v>2064</v>
      </c>
      <c r="K48" t="s">
        <v>880</v>
      </c>
    </row>
    <row r="49" spans="1:11" x14ac:dyDescent="0.2">
      <c r="A49" t="s">
        <v>2065</v>
      </c>
      <c r="B49">
        <v>5566129903</v>
      </c>
      <c r="C49" t="s">
        <v>2066</v>
      </c>
      <c r="D49" t="str">
        <f>"41116"</f>
        <v>41116</v>
      </c>
      <c r="E49" t="s">
        <v>1890</v>
      </c>
      <c r="F49" t="s">
        <v>2067</v>
      </c>
      <c r="G49" t="str">
        <f>"18.07.2001"</f>
        <v>18.07.2001</v>
      </c>
      <c r="H49" t="s">
        <v>2068</v>
      </c>
      <c r="I49" t="s">
        <v>2069</v>
      </c>
      <c r="J49" t="s">
        <v>2070</v>
      </c>
      <c r="K49" t="s">
        <v>1894</v>
      </c>
    </row>
    <row r="50" spans="1:11" x14ac:dyDescent="0.2">
      <c r="A50" t="s">
        <v>2071</v>
      </c>
      <c r="B50">
        <v>5566986450</v>
      </c>
      <c r="C50" t="s">
        <v>2072</v>
      </c>
      <c r="D50" t="str">
        <f>"11145"</f>
        <v>11145</v>
      </c>
      <c r="E50" t="s">
        <v>1883</v>
      </c>
      <c r="F50" t="s">
        <v>2073</v>
      </c>
      <c r="G50" t="str">
        <f>"23.02.2006"</f>
        <v>23.02.2006</v>
      </c>
      <c r="H50" t="s">
        <v>1026</v>
      </c>
      <c r="I50" t="s">
        <v>2074</v>
      </c>
      <c r="J50" t="s">
        <v>2075</v>
      </c>
      <c r="K50" t="s">
        <v>1894</v>
      </c>
    </row>
    <row r="51" spans="1:11" x14ac:dyDescent="0.2">
      <c r="A51" t="s">
        <v>2076</v>
      </c>
      <c r="B51">
        <v>5566421656</v>
      </c>
      <c r="C51" t="s">
        <v>2077</v>
      </c>
      <c r="D51" t="str">
        <f>"11359"</f>
        <v>11359</v>
      </c>
      <c r="E51" t="s">
        <v>1883</v>
      </c>
      <c r="F51" t="s">
        <v>2078</v>
      </c>
      <c r="G51" t="str">
        <f>"31.03.2003"</f>
        <v>31.03.2003</v>
      </c>
      <c r="H51" t="s">
        <v>2079</v>
      </c>
      <c r="I51" t="s">
        <v>2080</v>
      </c>
      <c r="J51" t="s">
        <v>2081</v>
      </c>
      <c r="K51" t="s">
        <v>19</v>
      </c>
    </row>
    <row r="52" spans="1:11" x14ac:dyDescent="0.2">
      <c r="A52" t="s">
        <v>2082</v>
      </c>
      <c r="B52">
        <v>5568258668</v>
      </c>
      <c r="C52" t="s">
        <v>2083</v>
      </c>
      <c r="D52" t="str">
        <f>"10430"</f>
        <v>10430</v>
      </c>
      <c r="E52" t="s">
        <v>1883</v>
      </c>
      <c r="F52" t="s">
        <v>2084</v>
      </c>
      <c r="G52" t="str">
        <f>"17.11.2010"</f>
        <v>17.11.2010</v>
      </c>
      <c r="H52" t="s">
        <v>2085</v>
      </c>
      <c r="I52" t="s">
        <v>2086</v>
      </c>
      <c r="J52" t="s">
        <v>2087</v>
      </c>
      <c r="K52" t="s">
        <v>2088</v>
      </c>
    </row>
    <row r="53" spans="1:11" x14ac:dyDescent="0.2">
      <c r="A53" t="s">
        <v>2089</v>
      </c>
      <c r="B53">
        <v>5566348263</v>
      </c>
      <c r="C53" t="s">
        <v>2090</v>
      </c>
      <c r="D53" t="str">
        <f>"11432"</f>
        <v>11432</v>
      </c>
      <c r="E53" t="s">
        <v>1883</v>
      </c>
      <c r="F53" t="s">
        <v>2091</v>
      </c>
      <c r="G53" t="str">
        <f>"22.11.2002"</f>
        <v>22.11.2002</v>
      </c>
      <c r="H53" t="s">
        <v>2092</v>
      </c>
      <c r="I53" t="s">
        <v>2093</v>
      </c>
      <c r="J53" t="s">
        <v>2094</v>
      </c>
      <c r="K53" t="s">
        <v>1894</v>
      </c>
    </row>
    <row r="54" spans="1:11" x14ac:dyDescent="0.2">
      <c r="A54" t="s">
        <v>2095</v>
      </c>
      <c r="B54">
        <v>5590700273</v>
      </c>
      <c r="C54" t="s">
        <v>2096</v>
      </c>
      <c r="D54" t="str">
        <f>"10359"</f>
        <v>10359</v>
      </c>
      <c r="E54" t="s">
        <v>1883</v>
      </c>
      <c r="F54" t="s">
        <v>2097</v>
      </c>
      <c r="G54" t="str">
        <f>"12.07.2016"</f>
        <v>12.07.2016</v>
      </c>
      <c r="H54" t="s">
        <v>2098</v>
      </c>
      <c r="I54" t="s">
        <v>2099</v>
      </c>
      <c r="J54" t="s">
        <v>2100</v>
      </c>
      <c r="K54" t="s">
        <v>1894</v>
      </c>
    </row>
    <row r="55" spans="1:11" x14ac:dyDescent="0.2">
      <c r="A55" t="s">
        <v>2101</v>
      </c>
      <c r="B55">
        <v>5566688544</v>
      </c>
      <c r="C55" t="s">
        <v>2102</v>
      </c>
      <c r="D55" t="str">
        <f>"18211"</f>
        <v>18211</v>
      </c>
      <c r="E55" t="s">
        <v>2103</v>
      </c>
      <c r="F55" t="s">
        <v>2106</v>
      </c>
      <c r="G55" t="str">
        <f>"21.10.2004"</f>
        <v>21.10.2004</v>
      </c>
      <c r="H55" t="s">
        <v>2107</v>
      </c>
      <c r="I55" t="s">
        <v>2108</v>
      </c>
      <c r="J55" t="s">
        <v>2109</v>
      </c>
      <c r="K55" t="s">
        <v>19</v>
      </c>
    </row>
    <row r="56" spans="1:11" x14ac:dyDescent="0.2">
      <c r="A56" t="s">
        <v>2110</v>
      </c>
      <c r="B56">
        <v>5590582739</v>
      </c>
      <c r="C56" t="s">
        <v>2111</v>
      </c>
      <c r="D56" t="str">
        <f>"19134"</f>
        <v>19134</v>
      </c>
      <c r="E56" t="s">
        <v>1954</v>
      </c>
      <c r="F56" t="s">
        <v>2112</v>
      </c>
      <c r="G56" t="str">
        <f>"11.04.2016"</f>
        <v>11.04.2016</v>
      </c>
      <c r="H56" t="s">
        <v>2113</v>
      </c>
      <c r="I56" t="s">
        <v>2114</v>
      </c>
      <c r="J56" t="s">
        <v>2115</v>
      </c>
      <c r="K56" t="s">
        <v>1894</v>
      </c>
    </row>
    <row r="57" spans="1:11" x14ac:dyDescent="0.2">
      <c r="A57" t="s">
        <v>2116</v>
      </c>
      <c r="B57">
        <v>5590565478</v>
      </c>
      <c r="C57" t="s">
        <v>2117</v>
      </c>
      <c r="D57" t="str">
        <f>"23238"</f>
        <v>23238</v>
      </c>
      <c r="E57" t="s">
        <v>2118</v>
      </c>
      <c r="F57" t="s">
        <v>2119</v>
      </c>
      <c r="G57" t="str">
        <f>"29.03.2016"</f>
        <v>29.03.2016</v>
      </c>
      <c r="H57" t="s">
        <v>2120</v>
      </c>
      <c r="I57" t="s">
        <v>2121</v>
      </c>
      <c r="J57" t="s">
        <v>2122</v>
      </c>
      <c r="K57" t="s">
        <v>2123</v>
      </c>
    </row>
    <row r="58" spans="1:11" x14ac:dyDescent="0.2">
      <c r="A58" t="s">
        <v>2124</v>
      </c>
      <c r="B58">
        <v>5565934907</v>
      </c>
      <c r="C58" t="s">
        <v>2104</v>
      </c>
      <c r="D58" t="str">
        <f>"16451"</f>
        <v>16451</v>
      </c>
      <c r="E58" t="s">
        <v>2105</v>
      </c>
      <c r="F58" t="s">
        <v>2125</v>
      </c>
      <c r="G58" t="str">
        <f>"27.06.2000"</f>
        <v>27.06.2000</v>
      </c>
      <c r="H58" t="s">
        <v>2126</v>
      </c>
      <c r="I58" t="s">
        <v>2127</v>
      </c>
      <c r="J58" t="s">
        <v>2128</v>
      </c>
      <c r="K58" t="s">
        <v>1894</v>
      </c>
    </row>
    <row r="59" spans="1:11" x14ac:dyDescent="0.2">
      <c r="A59" t="s">
        <v>2129</v>
      </c>
      <c r="B59">
        <v>5569770075</v>
      </c>
      <c r="C59" t="s">
        <v>2130</v>
      </c>
      <c r="D59" t="str">
        <f>"77123"</f>
        <v>77123</v>
      </c>
      <c r="E59" t="s">
        <v>2131</v>
      </c>
      <c r="F59" t="s">
        <v>2132</v>
      </c>
      <c r="G59" t="str">
        <f>"04.07.2014"</f>
        <v>04.07.2014</v>
      </c>
      <c r="H59" t="s">
        <v>2133</v>
      </c>
      <c r="I59" t="s">
        <v>2134</v>
      </c>
      <c r="J59" t="s">
        <v>2135</v>
      </c>
      <c r="K59" t="s">
        <v>1894</v>
      </c>
    </row>
    <row r="60" spans="1:11" x14ac:dyDescent="0.2">
      <c r="A60" t="s">
        <v>2136</v>
      </c>
      <c r="B60">
        <v>5590012752</v>
      </c>
      <c r="C60" t="s">
        <v>2137</v>
      </c>
      <c r="D60" t="str">
        <f>"18211"</f>
        <v>18211</v>
      </c>
      <c r="E60" t="s">
        <v>2103</v>
      </c>
      <c r="F60" t="s">
        <v>2138</v>
      </c>
      <c r="G60" t="str">
        <f>"22.01.2015"</f>
        <v>22.01.2015</v>
      </c>
      <c r="H60" t="s">
        <v>2139</v>
      </c>
      <c r="I60" t="s">
        <v>2140</v>
      </c>
      <c r="J60" t="s">
        <v>2141</v>
      </c>
      <c r="K60" t="s">
        <v>1894</v>
      </c>
    </row>
    <row r="61" spans="1:11" x14ac:dyDescent="0.2">
      <c r="A61" t="s">
        <v>2142</v>
      </c>
      <c r="B61">
        <v>5568201445</v>
      </c>
      <c r="C61" t="s">
        <v>2143</v>
      </c>
      <c r="D61" t="str">
        <f>"17278"</f>
        <v>17278</v>
      </c>
      <c r="E61" t="s">
        <v>2144</v>
      </c>
      <c r="F61" t="s">
        <v>2145</v>
      </c>
      <c r="G61" t="str">
        <f>"29.09.2010"</f>
        <v>29.09.2010</v>
      </c>
      <c r="H61" t="s">
        <v>2146</v>
      </c>
      <c r="I61" t="s">
        <v>2147</v>
      </c>
      <c r="J61" t="s">
        <v>2148</v>
      </c>
      <c r="K61" t="s">
        <v>1894</v>
      </c>
    </row>
    <row r="62" spans="1:11" x14ac:dyDescent="0.2">
      <c r="A62" t="s">
        <v>2149</v>
      </c>
      <c r="B62">
        <v>5590400155</v>
      </c>
      <c r="C62" t="s">
        <v>2150</v>
      </c>
      <c r="D62" t="str">
        <f>"11862"</f>
        <v>11862</v>
      </c>
      <c r="E62" t="s">
        <v>1883</v>
      </c>
      <c r="F62" t="s">
        <v>2151</v>
      </c>
      <c r="G62" t="str">
        <f>"09.12.2015"</f>
        <v>09.12.2015</v>
      </c>
      <c r="H62" t="s">
        <v>2152</v>
      </c>
      <c r="I62" t="s">
        <v>2153</v>
      </c>
      <c r="J62" t="s">
        <v>2154</v>
      </c>
      <c r="K62" t="s">
        <v>19</v>
      </c>
    </row>
    <row r="63" spans="1:11" x14ac:dyDescent="0.2">
      <c r="A63" t="s">
        <v>2155</v>
      </c>
      <c r="B63">
        <v>5590181730</v>
      </c>
      <c r="C63" t="s">
        <v>2156</v>
      </c>
      <c r="D63" t="str">
        <f>"11446"</f>
        <v>11446</v>
      </c>
      <c r="E63" t="s">
        <v>1883</v>
      </c>
      <c r="F63" t="s">
        <v>2157</v>
      </c>
      <c r="G63" t="str">
        <f>"24.06.2015"</f>
        <v>24.06.2015</v>
      </c>
      <c r="H63" t="s">
        <v>2158</v>
      </c>
      <c r="I63" t="s">
        <v>2159</v>
      </c>
      <c r="J63" t="s">
        <v>2160</v>
      </c>
      <c r="K63" t="s">
        <v>19</v>
      </c>
    </row>
    <row r="64" spans="1:11" x14ac:dyDescent="0.2">
      <c r="A64" t="s">
        <v>2161</v>
      </c>
      <c r="B64">
        <v>5567446736</v>
      </c>
      <c r="C64" t="s">
        <v>2162</v>
      </c>
      <c r="D64" t="str">
        <f>"11227"</f>
        <v>11227</v>
      </c>
      <c r="E64" t="s">
        <v>1883</v>
      </c>
      <c r="F64" t="s">
        <v>2163</v>
      </c>
      <c r="G64" t="str">
        <f>"29.11.2007"</f>
        <v>29.11.2007</v>
      </c>
      <c r="H64" t="s">
        <v>2164</v>
      </c>
      <c r="I64" t="s">
        <v>2165</v>
      </c>
      <c r="J64" t="s">
        <v>2166</v>
      </c>
      <c r="K64" t="s">
        <v>1894</v>
      </c>
    </row>
    <row r="65" spans="1:11" x14ac:dyDescent="0.2">
      <c r="A65" t="s">
        <v>2167</v>
      </c>
      <c r="B65">
        <v>5567845929</v>
      </c>
      <c r="C65" t="s">
        <v>2168</v>
      </c>
      <c r="D65" t="str">
        <f>"10120"</f>
        <v>10120</v>
      </c>
      <c r="E65" t="s">
        <v>1883</v>
      </c>
      <c r="F65" t="s">
        <v>2169</v>
      </c>
      <c r="G65" t="str">
        <f>"01.07.2009"</f>
        <v>01.07.2009</v>
      </c>
      <c r="H65" t="s">
        <v>315</v>
      </c>
      <c r="I65" t="s">
        <v>2170</v>
      </c>
      <c r="J65" t="s">
        <v>2171</v>
      </c>
      <c r="K65" t="s">
        <v>1894</v>
      </c>
    </row>
    <row r="66" spans="1:11" x14ac:dyDescent="0.2">
      <c r="A66" t="s">
        <v>2172</v>
      </c>
      <c r="B66">
        <v>5590163217</v>
      </c>
      <c r="C66" t="s">
        <v>2173</v>
      </c>
      <c r="D66" t="str">
        <f>"10327"</f>
        <v>10327</v>
      </c>
      <c r="E66" t="s">
        <v>1883</v>
      </c>
      <c r="F66" t="s">
        <v>2174</v>
      </c>
      <c r="G66" t="str">
        <f>"04.06.2015"</f>
        <v>04.06.2015</v>
      </c>
      <c r="H66" t="s">
        <v>2175</v>
      </c>
      <c r="I66" t="s">
        <v>2176</v>
      </c>
      <c r="J66" t="s">
        <v>2177</v>
      </c>
      <c r="K66" t="s">
        <v>19</v>
      </c>
    </row>
    <row r="67" spans="1:11" x14ac:dyDescent="0.2">
      <c r="A67" t="s">
        <v>2178</v>
      </c>
      <c r="B67">
        <v>5569179491</v>
      </c>
      <c r="C67" t="s">
        <v>2179</v>
      </c>
      <c r="D67" t="str">
        <f>"11741"</f>
        <v>11741</v>
      </c>
      <c r="E67" t="s">
        <v>1883</v>
      </c>
      <c r="F67" t="s">
        <v>2180</v>
      </c>
      <c r="G67" t="str">
        <f>"04.01.2013"</f>
        <v>04.01.2013</v>
      </c>
      <c r="H67" t="s">
        <v>2181</v>
      </c>
      <c r="I67" t="s">
        <v>2182</v>
      </c>
      <c r="J67" t="s">
        <v>2183</v>
      </c>
      <c r="K67" t="s">
        <v>19</v>
      </c>
    </row>
    <row r="68" spans="1:11" x14ac:dyDescent="0.2">
      <c r="A68" t="s">
        <v>2184</v>
      </c>
      <c r="B68">
        <v>5591669360</v>
      </c>
      <c r="C68" t="s">
        <v>2185</v>
      </c>
      <c r="D68" t="str">
        <f>"70233"</f>
        <v>70233</v>
      </c>
      <c r="E68" t="s">
        <v>2186</v>
      </c>
      <c r="F68" t="s">
        <v>2187</v>
      </c>
      <c r="G68" t="str">
        <f>"30.07.2018"</f>
        <v>30.07.2018</v>
      </c>
      <c r="H68" t="s">
        <v>2188</v>
      </c>
      <c r="I68" t="s">
        <v>2189</v>
      </c>
      <c r="J68" t="s">
        <v>2190</v>
      </c>
      <c r="K68" t="s">
        <v>1894</v>
      </c>
    </row>
    <row r="69" spans="1:11" x14ac:dyDescent="0.2">
      <c r="A69" t="s">
        <v>2191</v>
      </c>
      <c r="B69">
        <v>5568031768</v>
      </c>
      <c r="C69" t="s">
        <v>2192</v>
      </c>
      <c r="D69" t="str">
        <f>"50439"</f>
        <v>50439</v>
      </c>
      <c r="E69" t="s">
        <v>2193</v>
      </c>
      <c r="F69" t="s">
        <v>2194</v>
      </c>
      <c r="G69" t="str">
        <f>"01.04.2010"</f>
        <v>01.04.2010</v>
      </c>
      <c r="H69" t="s">
        <v>57</v>
      </c>
      <c r="I69" t="s">
        <v>2195</v>
      </c>
      <c r="J69" t="s">
        <v>2196</v>
      </c>
      <c r="K69" t="s">
        <v>1894</v>
      </c>
    </row>
    <row r="70" spans="1:11" x14ac:dyDescent="0.2">
      <c r="A70" t="s">
        <v>2197</v>
      </c>
      <c r="B70">
        <v>5568922594</v>
      </c>
      <c r="C70" t="s">
        <v>2198</v>
      </c>
      <c r="D70" t="str">
        <f>"41136"</f>
        <v>41136</v>
      </c>
      <c r="E70" t="s">
        <v>1890</v>
      </c>
      <c r="F70" t="s">
        <v>2199</v>
      </c>
      <c r="G70" t="str">
        <f>"04.05.2012"</f>
        <v>04.05.2012</v>
      </c>
      <c r="H70" t="s">
        <v>2200</v>
      </c>
      <c r="I70" t="s">
        <v>2201</v>
      </c>
      <c r="J70" t="s">
        <v>2202</v>
      </c>
      <c r="K70" t="s">
        <v>2203</v>
      </c>
    </row>
    <row r="71" spans="1:11" x14ac:dyDescent="0.2">
      <c r="A71" t="s">
        <v>2204</v>
      </c>
      <c r="B71">
        <v>5565551321</v>
      </c>
      <c r="C71" t="s">
        <v>2205</v>
      </c>
      <c r="D71" t="str">
        <f>"21135"</f>
        <v>21135</v>
      </c>
      <c r="E71" t="s">
        <v>1941</v>
      </c>
      <c r="F71" t="s">
        <v>2206</v>
      </c>
      <c r="G71" t="str">
        <f>"16.04.1998"</f>
        <v>16.04.1998</v>
      </c>
      <c r="H71" t="s">
        <v>2207</v>
      </c>
      <c r="I71" t="s">
        <v>2208</v>
      </c>
      <c r="J71" t="s">
        <v>2209</v>
      </c>
      <c r="K71" t="s">
        <v>1894</v>
      </c>
    </row>
    <row r="72" spans="1:11" x14ac:dyDescent="0.2">
      <c r="A72" t="s">
        <v>2210</v>
      </c>
      <c r="B72">
        <v>5569951170</v>
      </c>
      <c r="C72" t="s">
        <v>2104</v>
      </c>
      <c r="D72" t="str">
        <f>"16451"</f>
        <v>16451</v>
      </c>
      <c r="E72" t="s">
        <v>2105</v>
      </c>
      <c r="F72" t="s">
        <v>2211</v>
      </c>
      <c r="G72" t="str">
        <f>"11.12.2014"</f>
        <v>11.12.2014</v>
      </c>
      <c r="H72" t="s">
        <v>2212</v>
      </c>
      <c r="I72" t="s">
        <v>2213</v>
      </c>
      <c r="J72" t="s">
        <v>2214</v>
      </c>
      <c r="K72" t="s">
        <v>1894</v>
      </c>
    </row>
    <row r="73" spans="1:11" x14ac:dyDescent="0.2">
      <c r="A73" t="s">
        <v>2215</v>
      </c>
      <c r="B73">
        <v>5569896672</v>
      </c>
      <c r="C73" t="s">
        <v>2216</v>
      </c>
      <c r="D73" t="str">
        <f>"21139"</f>
        <v>21139</v>
      </c>
      <c r="E73" t="s">
        <v>1941</v>
      </c>
      <c r="F73" t="s">
        <v>2217</v>
      </c>
      <c r="G73" t="str">
        <f>"07.11.2014"</f>
        <v>07.11.2014</v>
      </c>
      <c r="H73" t="s">
        <v>2218</v>
      </c>
      <c r="I73" t="s">
        <v>2219</v>
      </c>
      <c r="J73" t="s">
        <v>2220</v>
      </c>
      <c r="K73" t="s">
        <v>19</v>
      </c>
    </row>
    <row r="74" spans="1:11" x14ac:dyDescent="0.2">
      <c r="A74" t="s">
        <v>2221</v>
      </c>
      <c r="B74">
        <v>8024996608</v>
      </c>
      <c r="C74" t="s">
        <v>2222</v>
      </c>
      <c r="D74" t="str">
        <f>"61730"</f>
        <v>61730</v>
      </c>
      <c r="E74" t="s">
        <v>2223</v>
      </c>
      <c r="F74" t="s">
        <v>2224</v>
      </c>
      <c r="G74" t="str">
        <f>"11.02.2016"</f>
        <v>11.02.2016</v>
      </c>
      <c r="H74" t="s">
        <v>2225</v>
      </c>
      <c r="I74" t="s">
        <v>2226</v>
      </c>
      <c r="J74" t="s">
        <v>2227</v>
      </c>
      <c r="K74" t="s">
        <v>19</v>
      </c>
    </row>
    <row r="75" spans="1:11" x14ac:dyDescent="0.2">
      <c r="A75" t="s">
        <v>2228</v>
      </c>
      <c r="B75">
        <v>5567407407</v>
      </c>
      <c r="C75" t="s">
        <v>2229</v>
      </c>
      <c r="D75" t="str">
        <f>"11157"</f>
        <v>11157</v>
      </c>
      <c r="E75" t="s">
        <v>1883</v>
      </c>
      <c r="F75" t="s">
        <v>2230</v>
      </c>
      <c r="G75" t="str">
        <f>"22.10.2007"</f>
        <v>22.10.2007</v>
      </c>
      <c r="H75" t="s">
        <v>556</v>
      </c>
      <c r="I75" t="s">
        <v>2231</v>
      </c>
      <c r="J75" t="s">
        <v>558</v>
      </c>
      <c r="K75" t="s">
        <v>559</v>
      </c>
    </row>
    <row r="76" spans="1:11" x14ac:dyDescent="0.2">
      <c r="A76" t="s">
        <v>2232</v>
      </c>
      <c r="B76">
        <v>5568926876</v>
      </c>
      <c r="C76" t="s">
        <v>2233</v>
      </c>
      <c r="D76" t="str">
        <f>"11242"</f>
        <v>11242</v>
      </c>
      <c r="E76" t="s">
        <v>1883</v>
      </c>
      <c r="F76" t="s">
        <v>2234</v>
      </c>
      <c r="G76" t="str">
        <f>"09.05.2012"</f>
        <v>09.05.2012</v>
      </c>
      <c r="H76" t="s">
        <v>2235</v>
      </c>
      <c r="I76" t="s">
        <v>2236</v>
      </c>
      <c r="J76" t="s">
        <v>2237</v>
      </c>
      <c r="K76" t="s">
        <v>19</v>
      </c>
    </row>
    <row r="77" spans="1:11" x14ac:dyDescent="0.2">
      <c r="A77" t="s">
        <v>2238</v>
      </c>
      <c r="B77">
        <v>5592283211</v>
      </c>
      <c r="C77" t="s">
        <v>2239</v>
      </c>
      <c r="D77" t="str">
        <f>"11362"</f>
        <v>11362</v>
      </c>
      <c r="E77" t="s">
        <v>1883</v>
      </c>
      <c r="F77" t="s">
        <v>2240</v>
      </c>
      <c r="G77" t="str">
        <f>"25.11.2019"</f>
        <v>25.11.2019</v>
      </c>
      <c r="H77" t="s">
        <v>2241</v>
      </c>
      <c r="I77" t="s">
        <v>2242</v>
      </c>
      <c r="J77" t="s">
        <v>2243</v>
      </c>
      <c r="K77" t="s">
        <v>2244</v>
      </c>
    </row>
    <row r="78" spans="1:11" x14ac:dyDescent="0.2">
      <c r="A78" t="s">
        <v>2245</v>
      </c>
      <c r="B78">
        <v>5567065288</v>
      </c>
      <c r="C78" t="s">
        <v>2246</v>
      </c>
      <c r="D78" t="str">
        <f>"41664"</f>
        <v>41664</v>
      </c>
      <c r="E78" t="s">
        <v>1890</v>
      </c>
      <c r="F78" t="s">
        <v>2247</v>
      </c>
      <c r="G78" t="str">
        <f>"29.06.2006"</f>
        <v>29.06.2006</v>
      </c>
      <c r="H78" t="s">
        <v>2248</v>
      </c>
      <c r="I78" t="s">
        <v>2249</v>
      </c>
      <c r="J78" t="s">
        <v>2250</v>
      </c>
      <c r="K78" t="s">
        <v>1894</v>
      </c>
    </row>
    <row r="79" spans="1:11" x14ac:dyDescent="0.2">
      <c r="A79" t="s">
        <v>2251</v>
      </c>
      <c r="B79">
        <v>5590463666</v>
      </c>
      <c r="C79" t="s">
        <v>2252</v>
      </c>
      <c r="D79" t="str">
        <f>"13236"</f>
        <v>13236</v>
      </c>
      <c r="E79" t="s">
        <v>2253</v>
      </c>
      <c r="F79" t="s">
        <v>2254</v>
      </c>
      <c r="G79" t="str">
        <f>"08.01.2016"</f>
        <v>08.01.2016</v>
      </c>
      <c r="H79" t="s">
        <v>2255</v>
      </c>
      <c r="I79" t="s">
        <v>2256</v>
      </c>
      <c r="J79" t="s">
        <v>2257</v>
      </c>
      <c r="K79" t="s">
        <v>1894</v>
      </c>
    </row>
    <row r="80" spans="1:11" x14ac:dyDescent="0.2">
      <c r="A80" t="s">
        <v>2258</v>
      </c>
      <c r="B80">
        <v>5591025381</v>
      </c>
      <c r="C80" t="s">
        <v>2259</v>
      </c>
      <c r="D80" t="str">
        <f>"75310"</f>
        <v>75310</v>
      </c>
      <c r="E80" t="s">
        <v>2260</v>
      </c>
      <c r="F80" t="s">
        <v>2261</v>
      </c>
      <c r="G80" t="str">
        <f>"01.03.2017"</f>
        <v>01.03.2017</v>
      </c>
      <c r="H80" t="s">
        <v>2262</v>
      </c>
      <c r="I80" t="s">
        <v>2263</v>
      </c>
      <c r="J80" t="s">
        <v>2264</v>
      </c>
      <c r="K80" t="s">
        <v>2265</v>
      </c>
    </row>
    <row r="81" spans="1:11" x14ac:dyDescent="0.2">
      <c r="A81" t="s">
        <v>2266</v>
      </c>
      <c r="B81">
        <v>5569687717</v>
      </c>
      <c r="C81" t="s">
        <v>2267</v>
      </c>
      <c r="D81" t="str">
        <f>"21119"</f>
        <v>21119</v>
      </c>
      <c r="E81" t="s">
        <v>1941</v>
      </c>
      <c r="F81" t="s">
        <v>2268</v>
      </c>
      <c r="G81" t="str">
        <f>"15.04.2014"</f>
        <v>15.04.2014</v>
      </c>
      <c r="H81" t="s">
        <v>2269</v>
      </c>
      <c r="I81" t="s">
        <v>2270</v>
      </c>
      <c r="J81" t="s">
        <v>2271</v>
      </c>
      <c r="K81" t="s">
        <v>1093</v>
      </c>
    </row>
    <row r="82" spans="1:11" x14ac:dyDescent="0.2">
      <c r="A82" t="s">
        <v>2272</v>
      </c>
      <c r="B82">
        <v>5568388200</v>
      </c>
      <c r="C82" t="s">
        <v>2130</v>
      </c>
      <c r="D82" t="str">
        <f>"77123"</f>
        <v>77123</v>
      </c>
      <c r="E82" t="s">
        <v>2131</v>
      </c>
      <c r="F82" t="s">
        <v>2273</v>
      </c>
      <c r="G82" t="str">
        <f>"18.01.2011"</f>
        <v>18.01.2011</v>
      </c>
      <c r="H82" t="s">
        <v>2274</v>
      </c>
      <c r="I82" t="s">
        <v>2275</v>
      </c>
      <c r="J82" t="s">
        <v>2276</v>
      </c>
      <c r="K82" t="s">
        <v>1894</v>
      </c>
    </row>
    <row r="83" spans="1:11" x14ac:dyDescent="0.2">
      <c r="A83" t="s">
        <v>2277</v>
      </c>
      <c r="B83">
        <v>5567335491</v>
      </c>
      <c r="C83" t="s">
        <v>2278</v>
      </c>
      <c r="D83" t="str">
        <f>"22370"</f>
        <v>22370</v>
      </c>
      <c r="E83" t="s">
        <v>2279</v>
      </c>
      <c r="F83" t="s">
        <v>2280</v>
      </c>
      <c r="G83" t="str">
        <f>"03.07.2007"</f>
        <v>03.07.2007</v>
      </c>
      <c r="H83" t="s">
        <v>2281</v>
      </c>
      <c r="I83" t="s">
        <v>2282</v>
      </c>
      <c r="J83" t="s">
        <v>2283</v>
      </c>
      <c r="K83" t="s">
        <v>1894</v>
      </c>
    </row>
    <row r="84" spans="1:11" x14ac:dyDescent="0.2">
      <c r="A84" t="s">
        <v>2284</v>
      </c>
      <c r="B84">
        <v>5590333745</v>
      </c>
      <c r="C84" t="s">
        <v>2285</v>
      </c>
      <c r="D84" t="str">
        <f>"11457"</f>
        <v>11457</v>
      </c>
      <c r="E84" t="s">
        <v>1883</v>
      </c>
      <c r="F84" t="s">
        <v>2286</v>
      </c>
      <c r="G84" t="str">
        <f>"03.11.2015"</f>
        <v>03.11.2015</v>
      </c>
      <c r="H84" t="s">
        <v>2287</v>
      </c>
      <c r="I84" t="s">
        <v>2288</v>
      </c>
      <c r="J84" t="s">
        <v>2289</v>
      </c>
      <c r="K84" t="s">
        <v>19</v>
      </c>
    </row>
    <row r="85" spans="1:11" x14ac:dyDescent="0.2">
      <c r="A85" t="s">
        <v>2290</v>
      </c>
      <c r="B85">
        <v>5569396129</v>
      </c>
      <c r="C85" t="s">
        <v>2291</v>
      </c>
      <c r="D85" t="str">
        <f>"11156"</f>
        <v>11156</v>
      </c>
      <c r="E85" t="s">
        <v>1883</v>
      </c>
      <c r="F85" t="s">
        <v>2292</v>
      </c>
      <c r="G85" t="str">
        <f>"20.08.2013"</f>
        <v>20.08.2013</v>
      </c>
      <c r="H85" t="s">
        <v>2293</v>
      </c>
      <c r="I85" t="s">
        <v>2294</v>
      </c>
      <c r="J85" t="s">
        <v>2295</v>
      </c>
      <c r="K85" t="s">
        <v>2296</v>
      </c>
    </row>
    <row r="86" spans="1:11" x14ac:dyDescent="0.2">
      <c r="A86" t="s">
        <v>2297</v>
      </c>
      <c r="B86">
        <v>5564696291</v>
      </c>
      <c r="C86" t="s">
        <v>2298</v>
      </c>
      <c r="D86" t="str">
        <f>"35106"</f>
        <v>35106</v>
      </c>
      <c r="E86" t="s">
        <v>2035</v>
      </c>
      <c r="F86" t="s">
        <v>2299</v>
      </c>
      <c r="G86" t="str">
        <f>"30.06.1993"</f>
        <v>30.06.1993</v>
      </c>
      <c r="H86" t="s">
        <v>2300</v>
      </c>
      <c r="I86" t="s">
        <v>2301</v>
      </c>
      <c r="J86" t="s">
        <v>2302</v>
      </c>
      <c r="K86" t="s">
        <v>1894</v>
      </c>
    </row>
    <row r="87" spans="1:11" x14ac:dyDescent="0.2">
      <c r="A87" t="s">
        <v>2303</v>
      </c>
      <c r="B87">
        <v>5567510689</v>
      </c>
      <c r="C87" t="s">
        <v>2304</v>
      </c>
      <c r="D87" t="str">
        <f>"75320"</f>
        <v>75320</v>
      </c>
      <c r="E87" t="s">
        <v>2260</v>
      </c>
      <c r="F87" t="s">
        <v>2305</v>
      </c>
      <c r="G87" t="str">
        <f>"31.01.2008"</f>
        <v>31.01.2008</v>
      </c>
      <c r="H87" t="s">
        <v>2306</v>
      </c>
      <c r="I87" t="s">
        <v>2307</v>
      </c>
      <c r="J87" t="s">
        <v>2308</v>
      </c>
      <c r="K87" t="s">
        <v>19</v>
      </c>
    </row>
    <row r="88" spans="1:11" x14ac:dyDescent="0.2">
      <c r="A88" t="s">
        <v>2309</v>
      </c>
      <c r="B88">
        <v>5569993388</v>
      </c>
      <c r="C88" t="s">
        <v>2310</v>
      </c>
      <c r="D88" t="str">
        <f>"11130"</f>
        <v>11130</v>
      </c>
      <c r="E88" t="s">
        <v>1883</v>
      </c>
      <c r="F88" t="s">
        <v>2311</v>
      </c>
      <c r="G88" t="str">
        <f>"05.01.2015"</f>
        <v>05.01.2015</v>
      </c>
      <c r="H88" t="s">
        <v>2312</v>
      </c>
      <c r="I88" t="s">
        <v>2313</v>
      </c>
      <c r="J88" t="s">
        <v>2314</v>
      </c>
      <c r="K88" t="s">
        <v>1894</v>
      </c>
    </row>
    <row r="89" spans="1:11" x14ac:dyDescent="0.2">
      <c r="A89" t="s">
        <v>2315</v>
      </c>
      <c r="B89">
        <v>5590231402</v>
      </c>
      <c r="C89" t="s">
        <v>2316</v>
      </c>
      <c r="D89" t="str">
        <f>"21134"</f>
        <v>21134</v>
      </c>
      <c r="E89" t="s">
        <v>1941</v>
      </c>
      <c r="F89" t="s">
        <v>2317</v>
      </c>
      <c r="G89" t="str">
        <f>"17.08.2015"</f>
        <v>17.08.2015</v>
      </c>
      <c r="H89" t="s">
        <v>2318</v>
      </c>
      <c r="I89" t="s">
        <v>2319</v>
      </c>
      <c r="J89" t="s">
        <v>2320</v>
      </c>
      <c r="K89" t="s">
        <v>1894</v>
      </c>
    </row>
    <row r="90" spans="1:11" x14ac:dyDescent="0.2">
      <c r="A90" t="s">
        <v>2321</v>
      </c>
      <c r="B90">
        <v>5567221956</v>
      </c>
      <c r="C90" t="s">
        <v>2322</v>
      </c>
      <c r="D90" t="str">
        <f>"11734"</f>
        <v>11734</v>
      </c>
      <c r="E90" t="s">
        <v>1883</v>
      </c>
      <c r="F90" t="s">
        <v>2323</v>
      </c>
      <c r="G90" t="str">
        <f>"29.01.2007"</f>
        <v>29.01.2007</v>
      </c>
      <c r="H90" t="s">
        <v>2324</v>
      </c>
      <c r="I90" t="s">
        <v>2325</v>
      </c>
      <c r="J90" t="s">
        <v>2326</v>
      </c>
      <c r="K90" t="s">
        <v>19</v>
      </c>
    </row>
    <row r="91" spans="1:11" x14ac:dyDescent="0.2">
      <c r="A91" t="s">
        <v>2327</v>
      </c>
      <c r="B91">
        <v>5568579089</v>
      </c>
      <c r="C91" t="s">
        <v>1916</v>
      </c>
      <c r="D91" t="str">
        <f>"11152"</f>
        <v>11152</v>
      </c>
      <c r="E91" t="s">
        <v>1883</v>
      </c>
      <c r="F91" t="s">
        <v>2328</v>
      </c>
      <c r="G91" t="str">
        <f>"01.07.2011"</f>
        <v>01.07.2011</v>
      </c>
      <c r="H91" t="s">
        <v>2329</v>
      </c>
      <c r="I91" t="s">
        <v>2330</v>
      </c>
      <c r="J91" t="s">
        <v>2331</v>
      </c>
      <c r="K91" t="s">
        <v>2332</v>
      </c>
    </row>
    <row r="92" spans="1:11" x14ac:dyDescent="0.2">
      <c r="A92" t="s">
        <v>2333</v>
      </c>
      <c r="B92">
        <v>5590811518</v>
      </c>
      <c r="C92" t="s">
        <v>2334</v>
      </c>
      <c r="D92" t="str">
        <f>"10123"</f>
        <v>10123</v>
      </c>
      <c r="E92" t="s">
        <v>1883</v>
      </c>
      <c r="F92" t="s">
        <v>2335</v>
      </c>
      <c r="G92" t="str">
        <f>"20.10.2016"</f>
        <v>20.10.2016</v>
      </c>
      <c r="H92" t="s">
        <v>2336</v>
      </c>
      <c r="I92" t="s">
        <v>2337</v>
      </c>
      <c r="J92" t="s">
        <v>2338</v>
      </c>
      <c r="K92" t="s">
        <v>1894</v>
      </c>
    </row>
    <row r="93" spans="1:11" x14ac:dyDescent="0.2">
      <c r="A93" t="s">
        <v>2339</v>
      </c>
      <c r="B93">
        <v>5567750103</v>
      </c>
      <c r="C93" t="s">
        <v>2340</v>
      </c>
      <c r="D93" t="str">
        <f>"41109"</f>
        <v>41109</v>
      </c>
      <c r="E93" t="s">
        <v>1890</v>
      </c>
      <c r="F93" t="s">
        <v>2341</v>
      </c>
      <c r="G93" t="str">
        <f>"01.01.2009"</f>
        <v>01.01.2009</v>
      </c>
      <c r="H93" t="s">
        <v>2342</v>
      </c>
      <c r="I93" t="s">
        <v>2343</v>
      </c>
      <c r="J93" t="s">
        <v>2344</v>
      </c>
      <c r="K93" t="s">
        <v>19</v>
      </c>
    </row>
    <row r="94" spans="1:11" x14ac:dyDescent="0.2">
      <c r="A94" t="s">
        <v>2345</v>
      </c>
      <c r="B94">
        <v>5590218185</v>
      </c>
      <c r="C94" t="s">
        <v>2346</v>
      </c>
      <c r="D94" t="str">
        <f>"97232"</f>
        <v>97232</v>
      </c>
      <c r="E94" t="s">
        <v>2347</v>
      </c>
      <c r="F94" t="s">
        <v>2348</v>
      </c>
      <c r="G94" t="str">
        <f>"29.07.2015"</f>
        <v>29.07.2015</v>
      </c>
      <c r="H94" t="s">
        <v>2349</v>
      </c>
      <c r="I94" t="s">
        <v>2350</v>
      </c>
      <c r="J94" t="s">
        <v>2351</v>
      </c>
      <c r="K94" t="s">
        <v>2352</v>
      </c>
    </row>
    <row r="95" spans="1:11" x14ac:dyDescent="0.2">
      <c r="A95" t="s">
        <v>2353</v>
      </c>
      <c r="B95">
        <v>5567666994</v>
      </c>
      <c r="C95" t="s">
        <v>2354</v>
      </c>
      <c r="D95" t="str">
        <f>"45772"</f>
        <v>45772</v>
      </c>
      <c r="E95" t="s">
        <v>2355</v>
      </c>
      <c r="F95" t="s">
        <v>2356</v>
      </c>
      <c r="G95" t="str">
        <f>"02.10.2008"</f>
        <v>02.10.2008</v>
      </c>
      <c r="H95" t="s">
        <v>2357</v>
      </c>
      <c r="I95" t="s">
        <v>2358</v>
      </c>
      <c r="J95" t="s">
        <v>2359</v>
      </c>
      <c r="K95" t="s">
        <v>1894</v>
      </c>
    </row>
    <row r="96" spans="1:11" x14ac:dyDescent="0.2">
      <c r="A96" t="s">
        <v>2360</v>
      </c>
      <c r="B96">
        <v>5569676686</v>
      </c>
      <c r="C96" t="s">
        <v>2361</v>
      </c>
      <c r="D96" t="str">
        <f>"96143"</f>
        <v>96143</v>
      </c>
      <c r="E96" t="s">
        <v>2362</v>
      </c>
      <c r="F96" t="s">
        <v>2363</v>
      </c>
      <c r="G96" t="str">
        <f>"04.04.2014"</f>
        <v>04.04.2014</v>
      </c>
      <c r="H96" t="s">
        <v>2364</v>
      </c>
      <c r="I96" t="s">
        <v>2365</v>
      </c>
      <c r="J96" t="s">
        <v>2366</v>
      </c>
      <c r="K96" t="s">
        <v>1894</v>
      </c>
    </row>
    <row r="97" spans="1:11" x14ac:dyDescent="0.2">
      <c r="A97" t="s">
        <v>2367</v>
      </c>
      <c r="B97">
        <v>5569069346</v>
      </c>
      <c r="C97" t="s">
        <v>2368</v>
      </c>
      <c r="D97" t="str">
        <f>"17446"</f>
        <v>17446</v>
      </c>
      <c r="E97" t="s">
        <v>2144</v>
      </c>
      <c r="F97" t="s">
        <v>2369</v>
      </c>
      <c r="G97" t="str">
        <f>"16.10.2012"</f>
        <v>16.10.2012</v>
      </c>
      <c r="H97" t="s">
        <v>2370</v>
      </c>
      <c r="I97" t="s">
        <v>2371</v>
      </c>
      <c r="J97" t="s">
        <v>2372</v>
      </c>
      <c r="K97" t="s">
        <v>19</v>
      </c>
    </row>
    <row r="98" spans="1:11" x14ac:dyDescent="0.2">
      <c r="A98" t="s">
        <v>2373</v>
      </c>
      <c r="B98">
        <v>5569872335</v>
      </c>
      <c r="C98" t="s">
        <v>2374</v>
      </c>
      <c r="D98" t="str">
        <f>"25236"</f>
        <v>25236</v>
      </c>
      <c r="E98" t="s">
        <v>2375</v>
      </c>
      <c r="F98" t="s">
        <v>2376</v>
      </c>
      <c r="G98" t="str">
        <f>"22.10.2014"</f>
        <v>22.10.2014</v>
      </c>
      <c r="H98" t="s">
        <v>2377</v>
      </c>
      <c r="I98" t="s">
        <v>2378</v>
      </c>
      <c r="J98" t="s">
        <v>2379</v>
      </c>
      <c r="K98" t="s">
        <v>2380</v>
      </c>
    </row>
    <row r="99" spans="1:11" x14ac:dyDescent="0.2">
      <c r="A99" t="s">
        <v>2381</v>
      </c>
      <c r="B99">
        <v>5567139901</v>
      </c>
      <c r="C99" t="s">
        <v>2382</v>
      </c>
      <c r="D99" t="str">
        <f>"13335"</f>
        <v>13335</v>
      </c>
      <c r="E99" t="s">
        <v>2383</v>
      </c>
      <c r="F99" t="s">
        <v>2384</v>
      </c>
      <c r="G99" t="str">
        <f>"27.10.2006"</f>
        <v>27.10.2006</v>
      </c>
      <c r="H99" t="s">
        <v>2385</v>
      </c>
      <c r="I99" t="s">
        <v>2386</v>
      </c>
      <c r="J99" t="s">
        <v>2387</v>
      </c>
      <c r="K99" t="s">
        <v>1894</v>
      </c>
    </row>
    <row r="100" spans="1:11" x14ac:dyDescent="0.2">
      <c r="A100" t="s">
        <v>2388</v>
      </c>
      <c r="B100">
        <v>5567009971</v>
      </c>
      <c r="C100" t="s">
        <v>2389</v>
      </c>
      <c r="D100" t="str">
        <f>"54123"</f>
        <v>54123</v>
      </c>
      <c r="E100" t="s">
        <v>2390</v>
      </c>
      <c r="F100" t="s">
        <v>2391</v>
      </c>
      <c r="G100" t="str">
        <f>"30.03.2006"</f>
        <v>30.03.2006</v>
      </c>
      <c r="H100" t="s">
        <v>2392</v>
      </c>
      <c r="I100" t="s">
        <v>2393</v>
      </c>
      <c r="J100" t="s">
        <v>2394</v>
      </c>
      <c r="K100" t="s">
        <v>1894</v>
      </c>
    </row>
    <row r="101" spans="1:11" x14ac:dyDescent="0.2">
      <c r="A101" t="s">
        <v>2395</v>
      </c>
      <c r="B101">
        <v>5590079892</v>
      </c>
      <c r="C101" t="s">
        <v>2396</v>
      </c>
      <c r="D101" t="str">
        <f>"90187"</f>
        <v>90187</v>
      </c>
      <c r="E101" t="s">
        <v>2397</v>
      </c>
      <c r="F101" t="s">
        <v>2398</v>
      </c>
      <c r="G101" t="str">
        <f>"19.03.2015"</f>
        <v>19.03.2015</v>
      </c>
      <c r="H101" t="s">
        <v>2399</v>
      </c>
      <c r="I101" t="s">
        <v>2400</v>
      </c>
      <c r="J101" t="s">
        <v>2401</v>
      </c>
      <c r="K101" t="s">
        <v>1894</v>
      </c>
    </row>
    <row r="102" spans="1:11" x14ac:dyDescent="0.2">
      <c r="A102" t="s">
        <v>2402</v>
      </c>
      <c r="B102">
        <v>5566462940</v>
      </c>
      <c r="C102" t="s">
        <v>2053</v>
      </c>
      <c r="D102" t="str">
        <f>"55318"</f>
        <v>55318</v>
      </c>
      <c r="E102" t="s">
        <v>2054</v>
      </c>
      <c r="F102" t="s">
        <v>2403</v>
      </c>
      <c r="G102" t="str">
        <f>"10.07.2003"</f>
        <v>10.07.2003</v>
      </c>
      <c r="H102" t="s">
        <v>2404</v>
      </c>
      <c r="I102" t="s">
        <v>2405</v>
      </c>
      <c r="J102" t="s">
        <v>2406</v>
      </c>
      <c r="K102" t="s">
        <v>1894</v>
      </c>
    </row>
    <row r="103" spans="1:11" x14ac:dyDescent="0.2">
      <c r="A103" t="s">
        <v>2407</v>
      </c>
      <c r="B103">
        <v>5591969828</v>
      </c>
      <c r="C103" t="s">
        <v>2408</v>
      </c>
      <c r="D103" t="str">
        <f>"11327"</f>
        <v>11327</v>
      </c>
      <c r="E103" t="s">
        <v>1883</v>
      </c>
      <c r="F103" t="s">
        <v>2409</v>
      </c>
      <c r="G103" t="str">
        <f>"01.03.2019"</f>
        <v>01.03.2019</v>
      </c>
      <c r="H103" t="s">
        <v>2043</v>
      </c>
      <c r="I103" t="s">
        <v>2410</v>
      </c>
      <c r="J103" t="s">
        <v>2411</v>
      </c>
      <c r="K103" t="s">
        <v>2412</v>
      </c>
    </row>
    <row r="104" spans="1:11" x14ac:dyDescent="0.2">
      <c r="A104" t="s">
        <v>2413</v>
      </c>
      <c r="B104">
        <v>5590742028</v>
      </c>
      <c r="C104" t="s">
        <v>2414</v>
      </c>
      <c r="D104" t="str">
        <f>"11137"</f>
        <v>11137</v>
      </c>
      <c r="E104" t="s">
        <v>1883</v>
      </c>
      <c r="F104" t="s">
        <v>2415</v>
      </c>
      <c r="G104" t="str">
        <f>"30.08.2016"</f>
        <v>30.08.2016</v>
      </c>
      <c r="H104" t="s">
        <v>2416</v>
      </c>
      <c r="I104" t="s">
        <v>2417</v>
      </c>
      <c r="J104" t="s">
        <v>2418</v>
      </c>
      <c r="K104" t="s">
        <v>1894</v>
      </c>
    </row>
    <row r="105" spans="1:11" x14ac:dyDescent="0.2">
      <c r="A105" t="s">
        <v>2419</v>
      </c>
      <c r="B105">
        <v>5563134583</v>
      </c>
      <c r="C105" t="s">
        <v>2420</v>
      </c>
      <c r="D105" t="str">
        <f>"10395"</f>
        <v>10395</v>
      </c>
      <c r="E105" t="s">
        <v>1883</v>
      </c>
      <c r="F105" t="s">
        <v>2421</v>
      </c>
      <c r="G105" t="str">
        <f>"26.11.1987"</f>
        <v>26.11.1987</v>
      </c>
      <c r="H105" t="s">
        <v>2422</v>
      </c>
      <c r="I105" t="s">
        <v>2423</v>
      </c>
      <c r="J105" t="s">
        <v>2424</v>
      </c>
      <c r="K105" t="s">
        <v>2425</v>
      </c>
    </row>
    <row r="106" spans="1:11" x14ac:dyDescent="0.2">
      <c r="A106" t="s">
        <v>2426</v>
      </c>
      <c r="B106">
        <v>5566293956</v>
      </c>
      <c r="C106" t="s">
        <v>2427</v>
      </c>
      <c r="D106" t="str">
        <f>"41140"</f>
        <v>41140</v>
      </c>
      <c r="E106" t="s">
        <v>1890</v>
      </c>
      <c r="F106" t="s">
        <v>2428</v>
      </c>
      <c r="G106" t="str">
        <f>"10.07.2002"</f>
        <v>10.07.2002</v>
      </c>
      <c r="H106" t="s">
        <v>2429</v>
      </c>
      <c r="I106" t="s">
        <v>2430</v>
      </c>
      <c r="J106" t="s">
        <v>2431</v>
      </c>
      <c r="K106" t="s">
        <v>2002</v>
      </c>
    </row>
    <row r="107" spans="1:11" x14ac:dyDescent="0.2">
      <c r="A107" t="s">
        <v>2432</v>
      </c>
      <c r="B107">
        <v>5568443351</v>
      </c>
      <c r="C107" t="s">
        <v>2433</v>
      </c>
      <c r="D107" t="str">
        <f>"21121"</f>
        <v>21121</v>
      </c>
      <c r="E107" t="s">
        <v>1941</v>
      </c>
      <c r="F107" t="s">
        <v>2434</v>
      </c>
      <c r="G107" t="str">
        <f>"03.03.2011"</f>
        <v>03.03.2011</v>
      </c>
      <c r="H107" t="s">
        <v>2435</v>
      </c>
      <c r="I107" t="s">
        <v>2436</v>
      </c>
      <c r="J107" t="s">
        <v>2437</v>
      </c>
      <c r="K107" t="s">
        <v>1894</v>
      </c>
    </row>
    <row r="108" spans="1:11" x14ac:dyDescent="0.2">
      <c r="A108" t="s">
        <v>2438</v>
      </c>
      <c r="B108">
        <v>5569655680</v>
      </c>
      <c r="C108" t="s">
        <v>2439</v>
      </c>
      <c r="D108" t="str">
        <f>"43853"</f>
        <v>43853</v>
      </c>
      <c r="E108" t="s">
        <v>2440</v>
      </c>
      <c r="F108" t="s">
        <v>2441</v>
      </c>
      <c r="G108" t="str">
        <f>"18.03.2014"</f>
        <v>18.03.2014</v>
      </c>
      <c r="H108" t="s">
        <v>2442</v>
      </c>
      <c r="I108" t="s">
        <v>2443</v>
      </c>
      <c r="J108" t="s">
        <v>2444</v>
      </c>
      <c r="K108" t="s">
        <v>1894</v>
      </c>
    </row>
    <row r="109" spans="1:11" x14ac:dyDescent="0.2">
      <c r="A109" t="s">
        <v>2445</v>
      </c>
      <c r="B109">
        <v>5590332648</v>
      </c>
      <c r="C109" t="s">
        <v>2446</v>
      </c>
      <c r="D109" t="str">
        <f>"41118"</f>
        <v>41118</v>
      </c>
      <c r="E109" t="s">
        <v>1890</v>
      </c>
      <c r="F109" t="s">
        <v>2447</v>
      </c>
      <c r="G109" t="str">
        <f>"03.11.2015"</f>
        <v>03.11.2015</v>
      </c>
      <c r="H109" t="s">
        <v>2448</v>
      </c>
      <c r="I109" t="s">
        <v>2449</v>
      </c>
      <c r="J109" t="s">
        <v>2450</v>
      </c>
      <c r="K109" t="s">
        <v>1894</v>
      </c>
    </row>
    <row r="110" spans="1:11" x14ac:dyDescent="0.2">
      <c r="A110" t="s">
        <v>2451</v>
      </c>
      <c r="B110">
        <v>5568106172</v>
      </c>
      <c r="C110" t="s">
        <v>2452</v>
      </c>
      <c r="D110" t="str">
        <f>"11234"</f>
        <v>11234</v>
      </c>
      <c r="E110" t="s">
        <v>1883</v>
      </c>
      <c r="F110" t="s">
        <v>2453</v>
      </c>
      <c r="G110" t="str">
        <f>"03.06.2010"</f>
        <v>03.06.2010</v>
      </c>
      <c r="H110" t="s">
        <v>2454</v>
      </c>
      <c r="I110" t="s">
        <v>2455</v>
      </c>
      <c r="J110" t="s">
        <v>2456</v>
      </c>
      <c r="K110" t="s">
        <v>1894</v>
      </c>
    </row>
    <row r="111" spans="1:11" x14ac:dyDescent="0.2">
      <c r="A111" t="s">
        <v>2457</v>
      </c>
      <c r="B111">
        <v>5566666466</v>
      </c>
      <c r="C111" t="s">
        <v>2458</v>
      </c>
      <c r="D111" t="str">
        <f>"11157"</f>
        <v>11157</v>
      </c>
      <c r="E111" t="s">
        <v>1883</v>
      </c>
      <c r="F111" t="s">
        <v>2460</v>
      </c>
      <c r="G111" t="str">
        <f>"20.09.2004"</f>
        <v>20.09.2004</v>
      </c>
      <c r="H111" t="s">
        <v>2461</v>
      </c>
      <c r="I111" t="s">
        <v>2462</v>
      </c>
      <c r="J111" t="s">
        <v>2463</v>
      </c>
      <c r="K111" t="s">
        <v>1894</v>
      </c>
    </row>
    <row r="112" spans="1:11" x14ac:dyDescent="0.2">
      <c r="A112" t="s">
        <v>2464</v>
      </c>
      <c r="B112">
        <v>5569398398</v>
      </c>
      <c r="C112" t="s">
        <v>2465</v>
      </c>
      <c r="D112" t="str">
        <f>"43137"</f>
        <v>43137</v>
      </c>
      <c r="E112" t="s">
        <v>2466</v>
      </c>
      <c r="F112" t="s">
        <v>2467</v>
      </c>
      <c r="G112" t="str">
        <f>"21.08.2013"</f>
        <v>21.08.2013</v>
      </c>
      <c r="H112" t="s">
        <v>2468</v>
      </c>
      <c r="I112" t="s">
        <v>2469</v>
      </c>
      <c r="J112" t="s">
        <v>2470</v>
      </c>
      <c r="K112" t="s">
        <v>1894</v>
      </c>
    </row>
    <row r="113" spans="1:11" x14ac:dyDescent="0.2">
      <c r="A113" t="s">
        <v>2471</v>
      </c>
      <c r="B113">
        <v>5590235080</v>
      </c>
      <c r="C113" t="s">
        <v>2472</v>
      </c>
      <c r="D113" t="str">
        <f>"11523"</f>
        <v>11523</v>
      </c>
      <c r="E113" t="s">
        <v>1883</v>
      </c>
      <c r="F113" t="s">
        <v>2473</v>
      </c>
      <c r="G113" t="str">
        <f>"20.08.2015"</f>
        <v>20.08.2015</v>
      </c>
      <c r="H113" t="s">
        <v>2474</v>
      </c>
      <c r="I113" t="s">
        <v>2475</v>
      </c>
      <c r="J113" t="s">
        <v>2476</v>
      </c>
      <c r="K113" t="s">
        <v>19</v>
      </c>
    </row>
    <row r="114" spans="1:11" x14ac:dyDescent="0.2">
      <c r="A114" t="s">
        <v>2477</v>
      </c>
      <c r="B114">
        <v>5592204977</v>
      </c>
      <c r="C114" t="s">
        <v>2478</v>
      </c>
      <c r="D114" t="str">
        <f>"16979"</f>
        <v>16979</v>
      </c>
      <c r="E114" t="s">
        <v>1997</v>
      </c>
      <c r="F114" t="s">
        <v>2479</v>
      </c>
      <c r="G114" t="str">
        <f>"30.09.2019"</f>
        <v>30.09.2019</v>
      </c>
      <c r="H114" t="s">
        <v>897</v>
      </c>
      <c r="I114" t="s">
        <v>2480</v>
      </c>
      <c r="J114" t="s">
        <v>899</v>
      </c>
      <c r="K114" t="s">
        <v>310</v>
      </c>
    </row>
    <row r="115" spans="1:11" x14ac:dyDescent="0.2">
      <c r="A115" t="s">
        <v>2481</v>
      </c>
      <c r="B115">
        <v>5590179460</v>
      </c>
      <c r="C115" t="s">
        <v>2482</v>
      </c>
      <c r="D115" t="str">
        <f>"41328"</f>
        <v>41328</v>
      </c>
      <c r="E115" t="s">
        <v>1890</v>
      </c>
      <c r="F115" t="s">
        <v>2483</v>
      </c>
      <c r="G115" t="str">
        <f>"22.06.2015"</f>
        <v>22.06.2015</v>
      </c>
      <c r="H115" t="s">
        <v>2484</v>
      </c>
      <c r="I115" t="s">
        <v>2485</v>
      </c>
      <c r="J115" t="s">
        <v>2486</v>
      </c>
      <c r="K115" t="s">
        <v>1894</v>
      </c>
    </row>
    <row r="116" spans="1:11" x14ac:dyDescent="0.2">
      <c r="A116" t="s">
        <v>2487</v>
      </c>
      <c r="B116">
        <v>5590284369</v>
      </c>
      <c r="C116" t="s">
        <v>2488</v>
      </c>
      <c r="D116" t="str">
        <f>"11321"</f>
        <v>11321</v>
      </c>
      <c r="E116" t="s">
        <v>1883</v>
      </c>
      <c r="F116" t="s">
        <v>2489</v>
      </c>
      <c r="G116" t="str">
        <f>"30.09.2015"</f>
        <v>30.09.2015</v>
      </c>
      <c r="H116" t="s">
        <v>2490</v>
      </c>
      <c r="I116" t="s">
        <v>2491</v>
      </c>
      <c r="J116" t="s">
        <v>2492</v>
      </c>
      <c r="K116" t="s">
        <v>1894</v>
      </c>
    </row>
    <row r="117" spans="1:11" x14ac:dyDescent="0.2">
      <c r="A117" t="s">
        <v>2493</v>
      </c>
      <c r="B117">
        <v>5569806598</v>
      </c>
      <c r="C117" t="s">
        <v>2494</v>
      </c>
      <c r="D117" t="str">
        <f>"11631"</f>
        <v>11631</v>
      </c>
      <c r="E117" t="s">
        <v>1883</v>
      </c>
      <c r="F117" t="s">
        <v>2495</v>
      </c>
      <c r="G117" t="str">
        <f>"26.08.2014"</f>
        <v>26.08.2014</v>
      </c>
      <c r="H117" t="s">
        <v>2496</v>
      </c>
      <c r="I117" t="s">
        <v>2497</v>
      </c>
      <c r="J117" t="s">
        <v>2498</v>
      </c>
      <c r="K117" t="s">
        <v>19</v>
      </c>
    </row>
    <row r="118" spans="1:11" x14ac:dyDescent="0.2">
      <c r="A118" t="s">
        <v>2499</v>
      </c>
      <c r="B118">
        <v>5565541595</v>
      </c>
      <c r="C118" t="s">
        <v>2500</v>
      </c>
      <c r="D118" t="str">
        <f>"75145"</f>
        <v>75145</v>
      </c>
      <c r="E118" t="s">
        <v>2260</v>
      </c>
      <c r="F118" t="s">
        <v>2501</v>
      </c>
      <c r="G118" t="str">
        <f>"26.03.1998"</f>
        <v>26.03.1998</v>
      </c>
      <c r="H118" t="s">
        <v>2502</v>
      </c>
      <c r="I118" t="s">
        <v>2503</v>
      </c>
      <c r="J118" t="s">
        <v>2504</v>
      </c>
      <c r="K118" t="s">
        <v>2123</v>
      </c>
    </row>
    <row r="119" spans="1:11" x14ac:dyDescent="0.2">
      <c r="A119" t="s">
        <v>2505</v>
      </c>
      <c r="B119">
        <v>5567012322</v>
      </c>
      <c r="C119" t="s">
        <v>2506</v>
      </c>
      <c r="D119" t="str">
        <f>"10631"</f>
        <v>10631</v>
      </c>
      <c r="E119" t="s">
        <v>1883</v>
      </c>
      <c r="F119" t="s">
        <v>2507</v>
      </c>
      <c r="G119" t="str">
        <f>"01.04.2006"</f>
        <v>01.04.2006</v>
      </c>
      <c r="H119" t="s">
        <v>2508</v>
      </c>
      <c r="I119" t="s">
        <v>2509</v>
      </c>
      <c r="J119" t="s">
        <v>2510</v>
      </c>
      <c r="K119" t="s">
        <v>1894</v>
      </c>
    </row>
    <row r="120" spans="1:11" x14ac:dyDescent="0.2">
      <c r="A120" t="s">
        <v>2511</v>
      </c>
      <c r="B120">
        <v>5569575375</v>
      </c>
      <c r="C120" t="s">
        <v>2512</v>
      </c>
      <c r="D120" t="str">
        <f>"11164"</f>
        <v>11164</v>
      </c>
      <c r="E120" t="s">
        <v>1883</v>
      </c>
      <c r="F120" t="s">
        <v>2513</v>
      </c>
      <c r="G120" t="str">
        <f>"07.01.2014"</f>
        <v>07.01.2014</v>
      </c>
      <c r="H120" t="s">
        <v>2514</v>
      </c>
      <c r="I120" t="s">
        <v>2515</v>
      </c>
      <c r="J120" t="s">
        <v>2516</v>
      </c>
      <c r="K120" t="s">
        <v>2380</v>
      </c>
    </row>
    <row r="121" spans="1:11" x14ac:dyDescent="0.2">
      <c r="A121" t="s">
        <v>2517</v>
      </c>
      <c r="B121">
        <v>5567468060</v>
      </c>
      <c r="C121" t="s">
        <v>2518</v>
      </c>
      <c r="D121" t="str">
        <f>"85229"</f>
        <v>85229</v>
      </c>
      <c r="E121" t="s">
        <v>2519</v>
      </c>
      <c r="F121" t="s">
        <v>2520</v>
      </c>
      <c r="G121" t="str">
        <f>"18.12.2007"</f>
        <v>18.12.2007</v>
      </c>
      <c r="H121" t="s">
        <v>2521</v>
      </c>
      <c r="I121" t="s">
        <v>2522</v>
      </c>
      <c r="J121" t="s">
        <v>2523</v>
      </c>
      <c r="K121" t="s">
        <v>603</v>
      </c>
    </row>
    <row r="122" spans="1:11" x14ac:dyDescent="0.2">
      <c r="A122" t="s">
        <v>2524</v>
      </c>
      <c r="B122">
        <v>5563970465</v>
      </c>
      <c r="C122" t="s">
        <v>2525</v>
      </c>
      <c r="D122" t="str">
        <f>"22270"</f>
        <v>22270</v>
      </c>
      <c r="E122" t="s">
        <v>2279</v>
      </c>
      <c r="F122" t="s">
        <v>2526</v>
      </c>
      <c r="G122" t="str">
        <f>"21.05.1990"</f>
        <v>21.05.1990</v>
      </c>
      <c r="H122" t="s">
        <v>2527</v>
      </c>
      <c r="I122" t="s">
        <v>2528</v>
      </c>
      <c r="J122" t="s">
        <v>2529</v>
      </c>
      <c r="K122" t="s">
        <v>1894</v>
      </c>
    </row>
    <row r="123" spans="1:11" x14ac:dyDescent="0.2">
      <c r="A123" t="s">
        <v>2530</v>
      </c>
      <c r="B123">
        <v>5569519837</v>
      </c>
      <c r="C123" t="s">
        <v>2531</v>
      </c>
      <c r="D123" t="str">
        <f>"54122"</f>
        <v>54122</v>
      </c>
      <c r="E123" t="s">
        <v>2390</v>
      </c>
      <c r="F123" t="s">
        <v>2532</v>
      </c>
      <c r="G123" t="str">
        <f>"04.12.2013"</f>
        <v>04.12.2013</v>
      </c>
      <c r="H123" t="s">
        <v>2533</v>
      </c>
      <c r="I123" t="s">
        <v>2534</v>
      </c>
      <c r="J123" t="s">
        <v>2535</v>
      </c>
      <c r="K123" t="s">
        <v>2536</v>
      </c>
    </row>
    <row r="124" spans="1:11" x14ac:dyDescent="0.2">
      <c r="A124" t="s">
        <v>2537</v>
      </c>
      <c r="B124">
        <v>5569685885</v>
      </c>
      <c r="C124" t="s">
        <v>2538</v>
      </c>
      <c r="D124" t="str">
        <f>"10251"</f>
        <v>10251</v>
      </c>
      <c r="E124" t="s">
        <v>1883</v>
      </c>
      <c r="F124" t="s">
        <v>2539</v>
      </c>
      <c r="G124" t="str">
        <f>"14.04.2014"</f>
        <v>14.04.2014</v>
      </c>
      <c r="H124" t="s">
        <v>2540</v>
      </c>
      <c r="I124" t="s">
        <v>2541</v>
      </c>
      <c r="J124" t="s">
        <v>2542</v>
      </c>
      <c r="K124" t="s">
        <v>28</v>
      </c>
    </row>
    <row r="125" spans="1:11" x14ac:dyDescent="0.2">
      <c r="A125" t="s">
        <v>2543</v>
      </c>
      <c r="B125">
        <v>5590366836</v>
      </c>
      <c r="C125" t="s">
        <v>2544</v>
      </c>
      <c r="D125" t="str">
        <f>"11435"</f>
        <v>11435</v>
      </c>
      <c r="E125" t="s">
        <v>1883</v>
      </c>
      <c r="F125" t="s">
        <v>2545</v>
      </c>
      <c r="G125" t="str">
        <f>"24.11.2015"</f>
        <v>24.11.2015</v>
      </c>
      <c r="H125" t="s">
        <v>2546</v>
      </c>
      <c r="I125" t="s">
        <v>2547</v>
      </c>
      <c r="J125" t="s">
        <v>2548</v>
      </c>
      <c r="K125" t="s">
        <v>1894</v>
      </c>
    </row>
    <row r="126" spans="1:11" x14ac:dyDescent="0.2">
      <c r="A126" t="s">
        <v>2549</v>
      </c>
      <c r="B126">
        <v>5590662382</v>
      </c>
      <c r="C126" t="s">
        <v>2550</v>
      </c>
      <c r="D126" t="str">
        <f>"21762"</f>
        <v>21762</v>
      </c>
      <c r="E126" t="s">
        <v>1941</v>
      </c>
      <c r="F126" t="s">
        <v>2551</v>
      </c>
      <c r="G126" t="str">
        <f>"13.06.2016"</f>
        <v>13.06.2016</v>
      </c>
      <c r="H126" t="s">
        <v>2552</v>
      </c>
      <c r="I126" t="s">
        <v>2553</v>
      </c>
      <c r="J126" t="s">
        <v>2554</v>
      </c>
      <c r="K126" t="s">
        <v>1894</v>
      </c>
    </row>
    <row r="127" spans="1:11" x14ac:dyDescent="0.2">
      <c r="A127" t="s">
        <v>2555</v>
      </c>
      <c r="B127">
        <v>5592285182</v>
      </c>
      <c r="C127" t="s">
        <v>2556</v>
      </c>
      <c r="D127" t="str">
        <f>"11360"</f>
        <v>11360</v>
      </c>
      <c r="E127" t="s">
        <v>1883</v>
      </c>
      <c r="F127" t="s">
        <v>2557</v>
      </c>
      <c r="G127" t="str">
        <f>"27.11.2019"</f>
        <v>27.11.2019</v>
      </c>
      <c r="H127" t="s">
        <v>2558</v>
      </c>
      <c r="I127" t="s">
        <v>2559</v>
      </c>
      <c r="J127" t="s">
        <v>2560</v>
      </c>
      <c r="K127" t="s">
        <v>2123</v>
      </c>
    </row>
    <row r="128" spans="1:11" x14ac:dyDescent="0.2">
      <c r="A128" t="s">
        <v>2561</v>
      </c>
      <c r="B128">
        <v>5565203675</v>
      </c>
      <c r="C128" t="s">
        <v>2562</v>
      </c>
      <c r="D128" t="str">
        <f>"11329"</f>
        <v>11329</v>
      </c>
      <c r="E128" t="s">
        <v>1883</v>
      </c>
      <c r="F128" t="s">
        <v>2563</v>
      </c>
      <c r="G128" t="str">
        <f>"17.07.1995"</f>
        <v>17.07.1995</v>
      </c>
      <c r="H128" t="s">
        <v>2564</v>
      </c>
      <c r="I128" t="s">
        <v>2565</v>
      </c>
      <c r="J128" t="s">
        <v>2566</v>
      </c>
      <c r="K128" t="s">
        <v>19</v>
      </c>
    </row>
    <row r="129" spans="1:11" x14ac:dyDescent="0.2">
      <c r="A129" t="s">
        <v>2567</v>
      </c>
      <c r="B129">
        <v>5590796727</v>
      </c>
      <c r="C129" t="s">
        <v>2060</v>
      </c>
      <c r="D129" t="str">
        <f>"11438"</f>
        <v>11438</v>
      </c>
      <c r="E129" t="s">
        <v>1883</v>
      </c>
      <c r="F129" t="s">
        <v>2568</v>
      </c>
      <c r="G129" t="str">
        <f>"10.10.2016"</f>
        <v>10.10.2016</v>
      </c>
      <c r="H129" t="s">
        <v>2569</v>
      </c>
      <c r="I129" t="s">
        <v>2570</v>
      </c>
      <c r="J129" t="s">
        <v>2571</v>
      </c>
      <c r="K129" t="s">
        <v>1894</v>
      </c>
    </row>
    <row r="130" spans="1:11" x14ac:dyDescent="0.2">
      <c r="A130" t="s">
        <v>2572</v>
      </c>
      <c r="B130">
        <v>5568925506</v>
      </c>
      <c r="C130" t="s">
        <v>2573</v>
      </c>
      <c r="D130" t="str">
        <f>"11357"</f>
        <v>11357</v>
      </c>
      <c r="E130" t="s">
        <v>1883</v>
      </c>
      <c r="F130" t="s">
        <v>2574</v>
      </c>
      <c r="G130" t="str">
        <f>"08.05.2012"</f>
        <v>08.05.2012</v>
      </c>
      <c r="H130" t="s">
        <v>2575</v>
      </c>
      <c r="I130" t="s">
        <v>2576</v>
      </c>
      <c r="J130" t="s">
        <v>2577</v>
      </c>
      <c r="K130" t="s">
        <v>19</v>
      </c>
    </row>
    <row r="131" spans="1:11" x14ac:dyDescent="0.2">
      <c r="A131" t="s">
        <v>2578</v>
      </c>
      <c r="B131">
        <v>5566380167</v>
      </c>
      <c r="C131" t="s">
        <v>2579</v>
      </c>
      <c r="D131" t="str">
        <f>"11827"</f>
        <v>11827</v>
      </c>
      <c r="E131" t="s">
        <v>1883</v>
      </c>
      <c r="F131" t="s">
        <v>2580</v>
      </c>
      <c r="G131" t="str">
        <f>"09.01.2003"</f>
        <v>09.01.2003</v>
      </c>
      <c r="H131" t="s">
        <v>2581</v>
      </c>
      <c r="I131" t="s">
        <v>2582</v>
      </c>
      <c r="J131" t="s">
        <v>2583</v>
      </c>
      <c r="K131" t="s">
        <v>1894</v>
      </c>
    </row>
    <row r="132" spans="1:11" x14ac:dyDescent="0.2">
      <c r="A132" t="s">
        <v>2584</v>
      </c>
      <c r="B132">
        <v>5566657754</v>
      </c>
      <c r="C132" t="s">
        <v>2585</v>
      </c>
      <c r="D132" t="str">
        <f>"83131"</f>
        <v>83131</v>
      </c>
      <c r="E132" t="s">
        <v>2586</v>
      </c>
      <c r="F132" t="s">
        <v>2587</v>
      </c>
      <c r="G132" t="str">
        <f>"03.09.2004"</f>
        <v>03.09.2004</v>
      </c>
      <c r="H132" t="s">
        <v>2588</v>
      </c>
      <c r="I132" t="s">
        <v>2589</v>
      </c>
      <c r="J132" t="s">
        <v>2590</v>
      </c>
      <c r="K132" t="s">
        <v>19</v>
      </c>
    </row>
    <row r="133" spans="1:11" x14ac:dyDescent="0.2">
      <c r="A133" t="s">
        <v>2591</v>
      </c>
      <c r="B133">
        <v>5569675449</v>
      </c>
      <c r="C133" t="s">
        <v>2592</v>
      </c>
      <c r="D133" t="str">
        <f>"41119"</f>
        <v>41119</v>
      </c>
      <c r="E133" t="s">
        <v>1890</v>
      </c>
      <c r="F133" t="s">
        <v>2593</v>
      </c>
      <c r="G133" t="str">
        <f>"04.04.2014"</f>
        <v>04.04.2014</v>
      </c>
      <c r="H133" t="s">
        <v>2594</v>
      </c>
      <c r="I133" t="s">
        <v>2595</v>
      </c>
      <c r="J133" t="s">
        <v>2596</v>
      </c>
      <c r="K133" t="s">
        <v>19</v>
      </c>
    </row>
    <row r="134" spans="1:11" x14ac:dyDescent="0.2">
      <c r="A134" t="s">
        <v>2597</v>
      </c>
      <c r="B134">
        <v>5591147243</v>
      </c>
      <c r="C134" t="s">
        <v>2598</v>
      </c>
      <c r="D134" t="str">
        <f>"43634"</f>
        <v>43634</v>
      </c>
      <c r="E134" t="s">
        <v>2599</v>
      </c>
      <c r="F134" t="s">
        <v>2600</v>
      </c>
      <c r="G134" t="str">
        <f>"07.06.2017"</f>
        <v>07.06.2017</v>
      </c>
      <c r="H134" t="s">
        <v>315</v>
      </c>
      <c r="I134" t="s">
        <v>2601</v>
      </c>
      <c r="J134" t="s">
        <v>2602</v>
      </c>
      <c r="K134" t="s">
        <v>1894</v>
      </c>
    </row>
    <row r="135" spans="1:11" x14ac:dyDescent="0.2">
      <c r="A135" t="s">
        <v>2603</v>
      </c>
      <c r="B135">
        <v>5569201998</v>
      </c>
      <c r="C135" t="s">
        <v>2604</v>
      </c>
      <c r="D135" t="str">
        <f>"11145"</f>
        <v>11145</v>
      </c>
      <c r="E135" t="s">
        <v>1883</v>
      </c>
      <c r="F135" t="s">
        <v>2605</v>
      </c>
      <c r="G135" t="str">
        <f>"24.01.2013"</f>
        <v>24.01.2013</v>
      </c>
      <c r="H135" t="s">
        <v>2606</v>
      </c>
      <c r="I135" t="s">
        <v>2607</v>
      </c>
      <c r="J135" t="s">
        <v>2608</v>
      </c>
      <c r="K135" t="s">
        <v>1894</v>
      </c>
    </row>
    <row r="136" spans="1:11" x14ac:dyDescent="0.2">
      <c r="A136" t="s">
        <v>2609</v>
      </c>
      <c r="B136">
        <v>5590614904</v>
      </c>
      <c r="C136" t="s">
        <v>2610</v>
      </c>
      <c r="D136" t="str">
        <f>"21117"</f>
        <v>21117</v>
      </c>
      <c r="E136" t="s">
        <v>1941</v>
      </c>
      <c r="F136" t="s">
        <v>2611</v>
      </c>
      <c r="G136" t="str">
        <f>"03.05.2016"</f>
        <v>03.05.2016</v>
      </c>
      <c r="H136" t="s">
        <v>2612</v>
      </c>
      <c r="I136" t="s">
        <v>2613</v>
      </c>
      <c r="J136" t="s">
        <v>2614</v>
      </c>
      <c r="K136" t="s">
        <v>1894</v>
      </c>
    </row>
    <row r="137" spans="1:11" x14ac:dyDescent="0.2">
      <c r="A137" t="s">
        <v>2615</v>
      </c>
      <c r="B137">
        <v>5564742103</v>
      </c>
      <c r="C137" t="s">
        <v>2616</v>
      </c>
      <c r="D137" t="str">
        <f>"79150"</f>
        <v>79150</v>
      </c>
      <c r="E137" t="s">
        <v>2617</v>
      </c>
      <c r="F137" t="s">
        <v>2618</v>
      </c>
      <c r="G137" t="str">
        <f>"08.11.1993"</f>
        <v>08.11.1993</v>
      </c>
      <c r="H137" t="s">
        <v>2619</v>
      </c>
      <c r="I137" t="s">
        <v>2620</v>
      </c>
      <c r="J137" t="s">
        <v>2621</v>
      </c>
      <c r="K137" t="s">
        <v>1894</v>
      </c>
    </row>
    <row r="138" spans="1:11" x14ac:dyDescent="0.2">
      <c r="A138" t="s">
        <v>2622</v>
      </c>
      <c r="B138">
        <v>5568972565</v>
      </c>
      <c r="C138" t="s">
        <v>2623</v>
      </c>
      <c r="D138" t="str">
        <f>"43437"</f>
        <v>43437</v>
      </c>
      <c r="E138" t="s">
        <v>2624</v>
      </c>
      <c r="F138" t="s">
        <v>2625</v>
      </c>
      <c r="G138" t="str">
        <f>"02.07.2012"</f>
        <v>02.07.2012</v>
      </c>
      <c r="H138" t="s">
        <v>315</v>
      </c>
      <c r="I138" t="s">
        <v>2626</v>
      </c>
      <c r="J138" t="s">
        <v>2627</v>
      </c>
      <c r="K138" t="s">
        <v>1894</v>
      </c>
    </row>
    <row r="139" spans="1:11" x14ac:dyDescent="0.2">
      <c r="A139" t="s">
        <v>2628</v>
      </c>
      <c r="B139">
        <v>5591162176</v>
      </c>
      <c r="C139" t="s">
        <v>2629</v>
      </c>
      <c r="D139" t="str">
        <f>"11240"</f>
        <v>11240</v>
      </c>
      <c r="E139" t="s">
        <v>1883</v>
      </c>
      <c r="F139" t="s">
        <v>2630</v>
      </c>
      <c r="G139" t="str">
        <f>"20.06.2017"</f>
        <v>20.06.2017</v>
      </c>
      <c r="H139" t="s">
        <v>2049</v>
      </c>
      <c r="I139" t="s">
        <v>2631</v>
      </c>
      <c r="J139" t="s">
        <v>2632</v>
      </c>
      <c r="K139" t="s">
        <v>1894</v>
      </c>
    </row>
    <row r="140" spans="1:11" x14ac:dyDescent="0.2">
      <c r="A140" t="s">
        <v>2633</v>
      </c>
      <c r="B140">
        <v>5565760997</v>
      </c>
      <c r="C140" t="s">
        <v>2634</v>
      </c>
      <c r="D140" t="str">
        <f>"11151"</f>
        <v>11151</v>
      </c>
      <c r="E140" t="s">
        <v>1883</v>
      </c>
      <c r="F140" t="s">
        <v>2635</v>
      </c>
      <c r="G140" t="str">
        <f>"27.09.1999"</f>
        <v>27.09.1999</v>
      </c>
      <c r="H140" t="s">
        <v>2636</v>
      </c>
      <c r="I140" t="s">
        <v>2637</v>
      </c>
      <c r="J140" t="s">
        <v>2638</v>
      </c>
      <c r="K140" t="s">
        <v>1894</v>
      </c>
    </row>
    <row r="141" spans="1:11" x14ac:dyDescent="0.2">
      <c r="A141" t="s">
        <v>2639</v>
      </c>
      <c r="B141">
        <v>5568302680</v>
      </c>
      <c r="C141" t="s">
        <v>2640</v>
      </c>
      <c r="D141" t="str">
        <f>"75334"</f>
        <v>75334</v>
      </c>
      <c r="E141" t="s">
        <v>2260</v>
      </c>
      <c r="F141" t="s">
        <v>2641</v>
      </c>
      <c r="G141" t="str">
        <f>"07.12.2010"</f>
        <v>07.12.2010</v>
      </c>
      <c r="H141" t="s">
        <v>2642</v>
      </c>
      <c r="I141" t="s">
        <v>2643</v>
      </c>
      <c r="J141" t="s">
        <v>2644</v>
      </c>
      <c r="K141" t="s">
        <v>2088</v>
      </c>
    </row>
    <row r="142" spans="1:11" x14ac:dyDescent="0.2">
      <c r="A142" t="s">
        <v>2645</v>
      </c>
      <c r="B142">
        <v>5592241359</v>
      </c>
      <c r="C142" t="s">
        <v>2646</v>
      </c>
      <c r="D142" t="str">
        <f>"15593"</f>
        <v>15593</v>
      </c>
      <c r="E142" t="s">
        <v>2647</v>
      </c>
      <c r="F142" t="s">
        <v>2648</v>
      </c>
      <c r="G142" t="str">
        <f>"28.10.2019"</f>
        <v>28.10.2019</v>
      </c>
      <c r="H142" t="s">
        <v>2649</v>
      </c>
      <c r="I142" t="s">
        <v>2650</v>
      </c>
      <c r="J142" t="s">
        <v>2651</v>
      </c>
      <c r="K142" t="s">
        <v>19</v>
      </c>
    </row>
    <row r="143" spans="1:11" x14ac:dyDescent="0.2">
      <c r="A143" t="s">
        <v>2652</v>
      </c>
      <c r="B143">
        <v>5565800835</v>
      </c>
      <c r="C143" t="s">
        <v>2653</v>
      </c>
      <c r="D143" t="str">
        <f>"11120"</f>
        <v>11120</v>
      </c>
      <c r="E143" t="s">
        <v>1883</v>
      </c>
      <c r="F143" t="s">
        <v>2654</v>
      </c>
      <c r="G143" t="str">
        <f>"10.12.1999"</f>
        <v>10.12.1999</v>
      </c>
      <c r="H143" t="s">
        <v>2655</v>
      </c>
      <c r="I143" t="s">
        <v>2656</v>
      </c>
      <c r="J143" t="s">
        <v>2657</v>
      </c>
      <c r="K143" t="s">
        <v>1894</v>
      </c>
    </row>
    <row r="144" spans="1:11" x14ac:dyDescent="0.2">
      <c r="A144" t="s">
        <v>2658</v>
      </c>
      <c r="B144">
        <v>5568937659</v>
      </c>
      <c r="C144" t="s">
        <v>2659</v>
      </c>
      <c r="D144" t="str">
        <f>"50338"</f>
        <v>50338</v>
      </c>
      <c r="E144" t="s">
        <v>2193</v>
      </c>
      <c r="F144" t="s">
        <v>2660</v>
      </c>
      <c r="G144" t="str">
        <f>"21.05.2012"</f>
        <v>21.05.2012</v>
      </c>
      <c r="H144" t="s">
        <v>2661</v>
      </c>
      <c r="I144" t="s">
        <v>2662</v>
      </c>
      <c r="J144" t="s">
        <v>2663</v>
      </c>
      <c r="K144" t="s">
        <v>1894</v>
      </c>
    </row>
    <row r="145" spans="1:11" x14ac:dyDescent="0.2">
      <c r="A145" t="s">
        <v>2664</v>
      </c>
      <c r="B145">
        <v>5566559307</v>
      </c>
      <c r="C145" t="s">
        <v>2665</v>
      </c>
      <c r="D145" t="str">
        <f>"35231"</f>
        <v>35231</v>
      </c>
      <c r="E145" t="s">
        <v>2035</v>
      </c>
      <c r="F145" t="s">
        <v>2666</v>
      </c>
      <c r="G145" t="str">
        <f>"11.02.2004"</f>
        <v>11.02.2004</v>
      </c>
      <c r="H145" t="s">
        <v>315</v>
      </c>
      <c r="I145" t="s">
        <v>2667</v>
      </c>
      <c r="J145" t="s">
        <v>2668</v>
      </c>
      <c r="K145" t="s">
        <v>1894</v>
      </c>
    </row>
    <row r="146" spans="1:11" x14ac:dyDescent="0.2">
      <c r="A146" t="s">
        <v>2669</v>
      </c>
      <c r="B146">
        <v>5569032989</v>
      </c>
      <c r="C146" t="s">
        <v>2670</v>
      </c>
      <c r="D146" t="str">
        <f>"11330"</f>
        <v>11330</v>
      </c>
      <c r="E146" t="s">
        <v>1883</v>
      </c>
      <c r="F146" t="s">
        <v>2671</v>
      </c>
      <c r="G146" t="str">
        <f>"10.09.2012"</f>
        <v>10.09.2012</v>
      </c>
      <c r="H146" t="s">
        <v>2672</v>
      </c>
      <c r="I146" t="s">
        <v>2673</v>
      </c>
      <c r="J146" t="s">
        <v>2674</v>
      </c>
      <c r="K146" t="s">
        <v>2675</v>
      </c>
    </row>
    <row r="147" spans="1:11" x14ac:dyDescent="0.2">
      <c r="A147" t="s">
        <v>2676</v>
      </c>
      <c r="B147">
        <v>5565633111</v>
      </c>
      <c r="C147" t="s">
        <v>2677</v>
      </c>
      <c r="D147" t="str">
        <f>"10451"</f>
        <v>10451</v>
      </c>
      <c r="E147" t="s">
        <v>1883</v>
      </c>
      <c r="F147" t="s">
        <v>2678</v>
      </c>
      <c r="G147" t="str">
        <f>"01.12.1998"</f>
        <v>01.12.1998</v>
      </c>
      <c r="H147" t="s">
        <v>2679</v>
      </c>
      <c r="I147" t="s">
        <v>2680</v>
      </c>
      <c r="J147" t="s">
        <v>2681</v>
      </c>
      <c r="K147" t="s">
        <v>2682</v>
      </c>
    </row>
    <row r="148" spans="1:11" x14ac:dyDescent="0.2">
      <c r="A148" t="s">
        <v>2683</v>
      </c>
      <c r="B148">
        <v>5566112057</v>
      </c>
      <c r="C148" t="s">
        <v>2684</v>
      </c>
      <c r="D148" t="str">
        <f>"12177"</f>
        <v>12177</v>
      </c>
      <c r="E148" t="s">
        <v>2459</v>
      </c>
      <c r="F148" t="s">
        <v>2685</v>
      </c>
      <c r="G148" t="str">
        <f>"22.05.2001"</f>
        <v>22.05.2001</v>
      </c>
      <c r="H148" t="s">
        <v>2686</v>
      </c>
      <c r="I148" t="s">
        <v>2687</v>
      </c>
      <c r="J148" t="s">
        <v>2688</v>
      </c>
      <c r="K148" t="s">
        <v>2689</v>
      </c>
    </row>
    <row r="149" spans="1:11" x14ac:dyDescent="0.2">
      <c r="A149" t="s">
        <v>2690</v>
      </c>
      <c r="B149">
        <v>5590279120</v>
      </c>
      <c r="C149" t="s">
        <v>2691</v>
      </c>
      <c r="D149" t="str">
        <f>"19149"</f>
        <v>19149</v>
      </c>
      <c r="E149" t="s">
        <v>1954</v>
      </c>
      <c r="F149" t="s">
        <v>2692</v>
      </c>
      <c r="G149" t="str">
        <f>"25.09.2015"</f>
        <v>25.09.2015</v>
      </c>
      <c r="H149" t="s">
        <v>2693</v>
      </c>
      <c r="I149" t="s">
        <v>2694</v>
      </c>
      <c r="J149" t="s">
        <v>2695</v>
      </c>
      <c r="K149" t="s">
        <v>1894</v>
      </c>
    </row>
    <row r="150" spans="1:11" x14ac:dyDescent="0.2">
      <c r="A150" t="s">
        <v>2696</v>
      </c>
      <c r="B150">
        <v>5591196273</v>
      </c>
      <c r="C150" t="s">
        <v>2697</v>
      </c>
      <c r="D150" t="str">
        <f>"18147"</f>
        <v>18147</v>
      </c>
      <c r="E150" t="s">
        <v>2698</v>
      </c>
      <c r="F150" t="s">
        <v>2699</v>
      </c>
      <c r="G150" t="str">
        <f>"17.07.2017"</f>
        <v>17.07.2017</v>
      </c>
      <c r="H150" t="s">
        <v>2533</v>
      </c>
      <c r="I150" t="s">
        <v>2700</v>
      </c>
      <c r="J150" t="s">
        <v>2701</v>
      </c>
      <c r="K150" t="s">
        <v>1894</v>
      </c>
    </row>
    <row r="151" spans="1:11" x14ac:dyDescent="0.2">
      <c r="A151" t="s">
        <v>2702</v>
      </c>
      <c r="B151">
        <v>5565814695</v>
      </c>
      <c r="C151" t="s">
        <v>2703</v>
      </c>
      <c r="D151" t="str">
        <f>"40421"</f>
        <v>40421</v>
      </c>
      <c r="E151" t="s">
        <v>1890</v>
      </c>
      <c r="F151" t="s">
        <v>2704</v>
      </c>
      <c r="G151" t="str">
        <f>"08.12.1999"</f>
        <v>08.12.1999</v>
      </c>
      <c r="H151" t="s">
        <v>2705</v>
      </c>
      <c r="I151" t="s">
        <v>2706</v>
      </c>
      <c r="J151" t="s">
        <v>2707</v>
      </c>
      <c r="K151" t="s">
        <v>2708</v>
      </c>
    </row>
    <row r="152" spans="1:11" x14ac:dyDescent="0.2">
      <c r="A152" t="s">
        <v>2709</v>
      </c>
      <c r="B152">
        <v>5563419182</v>
      </c>
      <c r="C152" t="s">
        <v>2710</v>
      </c>
      <c r="D152" t="str">
        <f>"10386"</f>
        <v>10386</v>
      </c>
      <c r="E152" t="s">
        <v>1883</v>
      </c>
      <c r="F152" t="s">
        <v>2711</v>
      </c>
      <c r="G152" t="str">
        <f>"21.11.1988"</f>
        <v>21.11.1988</v>
      </c>
      <c r="H152" t="s">
        <v>2712</v>
      </c>
      <c r="I152" t="s">
        <v>2713</v>
      </c>
      <c r="J152" t="s">
        <v>2714</v>
      </c>
      <c r="K152" t="s">
        <v>19</v>
      </c>
    </row>
    <row r="153" spans="1:11" x14ac:dyDescent="0.2">
      <c r="A153" t="s">
        <v>2715</v>
      </c>
      <c r="B153">
        <v>5590211537</v>
      </c>
      <c r="C153" t="s">
        <v>2716</v>
      </c>
      <c r="D153" t="str">
        <f>"17154"</f>
        <v>17154</v>
      </c>
      <c r="E153" t="s">
        <v>1997</v>
      </c>
      <c r="F153" t="s">
        <v>2717</v>
      </c>
      <c r="G153" t="str">
        <f>"20.07.2015"</f>
        <v>20.07.2015</v>
      </c>
      <c r="H153" t="s">
        <v>2718</v>
      </c>
      <c r="I153" t="s">
        <v>2719</v>
      </c>
      <c r="J153" t="s">
        <v>2720</v>
      </c>
      <c r="K153" t="s">
        <v>19</v>
      </c>
    </row>
    <row r="154" spans="1:11" x14ac:dyDescent="0.2">
      <c r="A154" t="s">
        <v>2721</v>
      </c>
      <c r="B154">
        <v>5569063414</v>
      </c>
      <c r="C154" t="s">
        <v>2722</v>
      </c>
      <c r="D154" t="str">
        <f>"40271"</f>
        <v>40271</v>
      </c>
      <c r="E154" t="s">
        <v>1890</v>
      </c>
      <c r="F154" t="s">
        <v>2723</v>
      </c>
      <c r="G154" t="str">
        <f>"10.10.2012"</f>
        <v>10.10.2012</v>
      </c>
      <c r="H154" t="s">
        <v>2724</v>
      </c>
      <c r="I154" t="s">
        <v>2725</v>
      </c>
      <c r="J154" t="s">
        <v>2726</v>
      </c>
      <c r="K154" t="s">
        <v>19</v>
      </c>
    </row>
    <row r="155" spans="1:11" x14ac:dyDescent="0.2">
      <c r="A155" t="s">
        <v>2727</v>
      </c>
      <c r="B155">
        <v>5592284177</v>
      </c>
      <c r="C155" t="s">
        <v>2728</v>
      </c>
      <c r="D155" t="str">
        <f>"14265"</f>
        <v>14265</v>
      </c>
      <c r="E155" t="s">
        <v>2729</v>
      </c>
      <c r="F155" t="s">
        <v>2299</v>
      </c>
      <c r="G155" t="str">
        <f>"26.11.2019"</f>
        <v>26.11.2019</v>
      </c>
      <c r="H155" t="s">
        <v>2300</v>
      </c>
      <c r="I155" t="s">
        <v>2730</v>
      </c>
      <c r="J155" t="s">
        <v>2302</v>
      </c>
      <c r="K155" t="s">
        <v>1894</v>
      </c>
    </row>
    <row r="156" spans="1:11" x14ac:dyDescent="0.2">
      <c r="A156" t="s">
        <v>2731</v>
      </c>
      <c r="B156">
        <v>5566270129</v>
      </c>
      <c r="C156" t="s">
        <v>2732</v>
      </c>
      <c r="D156" t="str">
        <f>"11160"</f>
        <v>11160</v>
      </c>
      <c r="E156" t="s">
        <v>1883</v>
      </c>
      <c r="F156" t="s">
        <v>2733</v>
      </c>
      <c r="G156" t="str">
        <f>"21.05.2002"</f>
        <v>21.05.2002</v>
      </c>
      <c r="H156" t="s">
        <v>2734</v>
      </c>
      <c r="I156" t="s">
        <v>2735</v>
      </c>
      <c r="J156" t="s">
        <v>2736</v>
      </c>
      <c r="K156" t="s">
        <v>19</v>
      </c>
    </row>
    <row r="157" spans="1:11" x14ac:dyDescent="0.2">
      <c r="A157" t="s">
        <v>2737</v>
      </c>
      <c r="B157">
        <v>5020731179</v>
      </c>
      <c r="C157" t="s">
        <v>2738</v>
      </c>
      <c r="D157" t="str">
        <f>"11152"</f>
        <v>11152</v>
      </c>
      <c r="E157" t="s">
        <v>1883</v>
      </c>
      <c r="F157" t="s">
        <v>2739</v>
      </c>
      <c r="G157" t="str">
        <f>"19.09.2013"</f>
        <v>19.09.2013</v>
      </c>
      <c r="H157" t="s">
        <v>2740</v>
      </c>
      <c r="I157" t="s">
        <v>2741</v>
      </c>
      <c r="J157" t="s">
        <v>2742</v>
      </c>
      <c r="K157" t="s">
        <v>2002</v>
      </c>
    </row>
    <row r="158" spans="1:11" x14ac:dyDescent="0.2">
      <c r="A158" t="s">
        <v>2743</v>
      </c>
      <c r="B158">
        <v>5568426786</v>
      </c>
      <c r="C158" t="s">
        <v>2744</v>
      </c>
      <c r="D158" t="str">
        <f>"90336"</f>
        <v>90336</v>
      </c>
      <c r="E158" t="s">
        <v>2397</v>
      </c>
      <c r="F158" t="s">
        <v>2745</v>
      </c>
      <c r="G158" t="str">
        <f>"21.02.2011"</f>
        <v>21.02.2011</v>
      </c>
      <c r="H158" t="s">
        <v>2746</v>
      </c>
      <c r="I158" t="s">
        <v>2747</v>
      </c>
      <c r="J158" t="s">
        <v>2748</v>
      </c>
      <c r="K158" t="s">
        <v>1894</v>
      </c>
    </row>
    <row r="159" spans="1:11" x14ac:dyDescent="0.2">
      <c r="A159" t="s">
        <v>2749</v>
      </c>
      <c r="B159">
        <v>5569416893</v>
      </c>
      <c r="C159" t="s">
        <v>2750</v>
      </c>
      <c r="D159" t="str">
        <f>"21122"</f>
        <v>21122</v>
      </c>
      <c r="E159" t="s">
        <v>1941</v>
      </c>
      <c r="F159" t="s">
        <v>2751</v>
      </c>
      <c r="G159" t="str">
        <f>"05.09.2013"</f>
        <v>05.09.2013</v>
      </c>
      <c r="H159" t="s">
        <v>2752</v>
      </c>
      <c r="I159" t="s">
        <v>2753</v>
      </c>
      <c r="J159" t="s">
        <v>2754</v>
      </c>
      <c r="K159" t="s">
        <v>19</v>
      </c>
    </row>
    <row r="160" spans="1:11" x14ac:dyDescent="0.2">
      <c r="A160" t="s">
        <v>2755</v>
      </c>
      <c r="B160">
        <v>5590024237</v>
      </c>
      <c r="C160" t="s">
        <v>2756</v>
      </c>
      <c r="D160" t="str">
        <f>"11359"</f>
        <v>11359</v>
      </c>
      <c r="E160" t="s">
        <v>1883</v>
      </c>
      <c r="F160" t="s">
        <v>2757</v>
      </c>
      <c r="G160" t="str">
        <f>"02.02.2015"</f>
        <v>02.02.2015</v>
      </c>
      <c r="H160" t="s">
        <v>2758</v>
      </c>
      <c r="I160" t="s">
        <v>2759</v>
      </c>
      <c r="J160" t="s">
        <v>2760</v>
      </c>
      <c r="K160" t="s">
        <v>1894</v>
      </c>
    </row>
    <row r="161" spans="1:11" x14ac:dyDescent="0.2">
      <c r="A161" t="s">
        <v>2761</v>
      </c>
      <c r="B161">
        <v>5569916421</v>
      </c>
      <c r="C161" t="s">
        <v>2762</v>
      </c>
      <c r="D161" t="str">
        <f>"11122"</f>
        <v>11122</v>
      </c>
      <c r="E161" t="s">
        <v>1883</v>
      </c>
      <c r="F161" t="s">
        <v>2763</v>
      </c>
      <c r="G161" t="str">
        <f>"21.11.2014"</f>
        <v>21.11.2014</v>
      </c>
      <c r="H161" t="s">
        <v>2764</v>
      </c>
      <c r="I161" t="s">
        <v>2765</v>
      </c>
      <c r="J161" t="s">
        <v>2766</v>
      </c>
      <c r="K161" t="s">
        <v>19</v>
      </c>
    </row>
    <row r="162" spans="1:11" x14ac:dyDescent="0.2">
      <c r="A162" t="s">
        <v>2767</v>
      </c>
      <c r="B162">
        <v>5590271358</v>
      </c>
      <c r="C162" t="s">
        <v>2768</v>
      </c>
      <c r="D162" t="str">
        <f>"41138"</f>
        <v>41138</v>
      </c>
      <c r="E162" t="s">
        <v>1890</v>
      </c>
      <c r="F162" t="s">
        <v>2769</v>
      </c>
      <c r="G162" t="str">
        <f>"21.09.2015"</f>
        <v>21.09.2015</v>
      </c>
      <c r="H162" t="s">
        <v>2770</v>
      </c>
      <c r="I162" t="s">
        <v>2771</v>
      </c>
      <c r="J162" t="s">
        <v>2772</v>
      </c>
      <c r="K162" t="s">
        <v>1894</v>
      </c>
    </row>
    <row r="163" spans="1:11" x14ac:dyDescent="0.2">
      <c r="A163" t="s">
        <v>2773</v>
      </c>
      <c r="B163">
        <v>5565839296</v>
      </c>
      <c r="C163" t="s">
        <v>2774</v>
      </c>
      <c r="D163" t="str">
        <f>"11353"</f>
        <v>11353</v>
      </c>
      <c r="E163" t="s">
        <v>1883</v>
      </c>
      <c r="F163" t="s">
        <v>2775</v>
      </c>
      <c r="G163" t="str">
        <f>"14.01.2000"</f>
        <v>14.01.2000</v>
      </c>
      <c r="H163" t="s">
        <v>2776</v>
      </c>
      <c r="I163" t="s">
        <v>2777</v>
      </c>
      <c r="J163" t="s">
        <v>2778</v>
      </c>
      <c r="K163" t="s">
        <v>2779</v>
      </c>
    </row>
    <row r="164" spans="1:11" x14ac:dyDescent="0.2">
      <c r="A164" t="s">
        <v>2780</v>
      </c>
      <c r="B164">
        <v>5569705840</v>
      </c>
      <c r="C164" t="s">
        <v>2781</v>
      </c>
      <c r="D164" t="str">
        <f>"11223"</f>
        <v>11223</v>
      </c>
      <c r="E164" t="s">
        <v>1883</v>
      </c>
      <c r="F164" t="s">
        <v>2782</v>
      </c>
      <c r="G164" t="str">
        <f>"05.05.2014"</f>
        <v>05.05.2014</v>
      </c>
      <c r="H164" t="s">
        <v>2783</v>
      </c>
      <c r="I164" t="s">
        <v>2784</v>
      </c>
      <c r="J164" t="s">
        <v>2785</v>
      </c>
      <c r="K164" t="s">
        <v>19</v>
      </c>
    </row>
    <row r="165" spans="1:11" x14ac:dyDescent="0.2">
      <c r="A165" t="s">
        <v>2786</v>
      </c>
      <c r="B165">
        <v>5567692719</v>
      </c>
      <c r="C165" t="s">
        <v>2787</v>
      </c>
      <c r="D165" t="str">
        <f>"11124"</f>
        <v>11124</v>
      </c>
      <c r="E165" t="s">
        <v>1883</v>
      </c>
      <c r="F165" t="s">
        <v>2788</v>
      </c>
      <c r="G165" t="str">
        <f>"07.11.2008"</f>
        <v>07.11.2008</v>
      </c>
      <c r="H165" t="s">
        <v>2789</v>
      </c>
      <c r="I165" t="s">
        <v>2790</v>
      </c>
      <c r="J165" t="s">
        <v>2791</v>
      </c>
      <c r="K165" t="s">
        <v>1894</v>
      </c>
    </row>
    <row r="166" spans="1:11" x14ac:dyDescent="0.2">
      <c r="A166" t="s">
        <v>2792</v>
      </c>
      <c r="B166">
        <v>5568736242</v>
      </c>
      <c r="C166" t="s">
        <v>2787</v>
      </c>
      <c r="D166" t="str">
        <f>"11124"</f>
        <v>11124</v>
      </c>
      <c r="E166" t="s">
        <v>1883</v>
      </c>
      <c r="F166" t="s">
        <v>2793</v>
      </c>
      <c r="G166" t="str">
        <f>"29.11.2011"</f>
        <v>29.11.2011</v>
      </c>
      <c r="H166" t="s">
        <v>1195</v>
      </c>
      <c r="I166" t="s">
        <v>2794</v>
      </c>
      <c r="J166" t="s">
        <v>2795</v>
      </c>
      <c r="K166" t="s">
        <v>1894</v>
      </c>
    </row>
    <row r="167" spans="1:11" x14ac:dyDescent="0.2">
      <c r="A167" t="s">
        <v>2796</v>
      </c>
      <c r="B167">
        <v>5568375025</v>
      </c>
      <c r="C167" t="s">
        <v>2797</v>
      </c>
      <c r="D167" t="str">
        <f>"42165"</f>
        <v>42165</v>
      </c>
      <c r="E167" t="s">
        <v>2798</v>
      </c>
      <c r="F167" t="s">
        <v>2799</v>
      </c>
      <c r="G167" t="str">
        <f>"10.01.2011"</f>
        <v>10.01.2011</v>
      </c>
      <c r="H167" t="s">
        <v>2800</v>
      </c>
      <c r="I167" t="s">
        <v>2801</v>
      </c>
      <c r="J167" t="s">
        <v>2802</v>
      </c>
      <c r="K167" t="s">
        <v>1894</v>
      </c>
    </row>
    <row r="168" spans="1:11" x14ac:dyDescent="0.2">
      <c r="A168" t="s">
        <v>2803</v>
      </c>
      <c r="B168">
        <v>5568772817</v>
      </c>
      <c r="C168" t="s">
        <v>2804</v>
      </c>
      <c r="D168" t="str">
        <f>"65224"</f>
        <v>65224</v>
      </c>
      <c r="E168" t="s">
        <v>2805</v>
      </c>
      <c r="F168" t="s">
        <v>2806</v>
      </c>
      <c r="G168" t="str">
        <f>"20.12.2011"</f>
        <v>20.12.2011</v>
      </c>
      <c r="H168" t="s">
        <v>2807</v>
      </c>
      <c r="I168" t="s">
        <v>2808</v>
      </c>
      <c r="J168" t="s">
        <v>2809</v>
      </c>
      <c r="K168" t="s">
        <v>1894</v>
      </c>
    </row>
    <row r="169" spans="1:11" x14ac:dyDescent="0.2">
      <c r="A169" t="s">
        <v>2810</v>
      </c>
      <c r="B169">
        <v>5590223490</v>
      </c>
      <c r="C169" t="s">
        <v>1889</v>
      </c>
      <c r="D169" t="str">
        <f>"41104"</f>
        <v>41104</v>
      </c>
      <c r="E169" t="s">
        <v>1890</v>
      </c>
      <c r="F169" t="s">
        <v>2811</v>
      </c>
      <c r="G169" t="str">
        <f>"07.08.2015"</f>
        <v>07.08.2015</v>
      </c>
      <c r="H169" t="s">
        <v>1891</v>
      </c>
      <c r="I169" t="s">
        <v>2812</v>
      </c>
      <c r="J169" t="s">
        <v>1893</v>
      </c>
      <c r="K169" t="s">
        <v>1894</v>
      </c>
    </row>
    <row r="170" spans="1:11" x14ac:dyDescent="0.2">
      <c r="A170" t="s">
        <v>2813</v>
      </c>
      <c r="B170">
        <v>5567708127</v>
      </c>
      <c r="C170" t="s">
        <v>2814</v>
      </c>
      <c r="D170" t="str">
        <f>"12534"</f>
        <v>12534</v>
      </c>
      <c r="E170" t="s">
        <v>2815</v>
      </c>
      <c r="F170" t="s">
        <v>2816</v>
      </c>
      <c r="G170" t="str">
        <f>"24.11.2008"</f>
        <v>24.11.2008</v>
      </c>
      <c r="H170" t="s">
        <v>2817</v>
      </c>
      <c r="I170" t="s">
        <v>2818</v>
      </c>
      <c r="J170" t="s">
        <v>2819</v>
      </c>
      <c r="K170" t="s">
        <v>19</v>
      </c>
    </row>
    <row r="171" spans="1:11" x14ac:dyDescent="0.2">
      <c r="A171" t="s">
        <v>2820</v>
      </c>
      <c r="B171">
        <v>5591506075</v>
      </c>
      <c r="C171" t="s">
        <v>2821</v>
      </c>
      <c r="D171" t="str">
        <f>"25224"</f>
        <v>25224</v>
      </c>
      <c r="E171" t="s">
        <v>2375</v>
      </c>
      <c r="F171" t="s">
        <v>2822</v>
      </c>
      <c r="G171" t="str">
        <f>"27.02.2018"</f>
        <v>27.02.2018</v>
      </c>
      <c r="H171" t="s">
        <v>2823</v>
      </c>
      <c r="I171" t="s">
        <v>2824</v>
      </c>
      <c r="J171" t="s">
        <v>2825</v>
      </c>
      <c r="K171" t="s">
        <v>19</v>
      </c>
    </row>
    <row r="172" spans="1:11" x14ac:dyDescent="0.2">
      <c r="A172" t="s">
        <v>2826</v>
      </c>
      <c r="B172">
        <v>5566309182</v>
      </c>
      <c r="C172" t="s">
        <v>2827</v>
      </c>
      <c r="D172" t="str">
        <f>"58227"</f>
        <v>58227</v>
      </c>
      <c r="E172" t="s">
        <v>2828</v>
      </c>
      <c r="F172" t="s">
        <v>2829</v>
      </c>
      <c r="G172" t="str">
        <f>"23.07.2002"</f>
        <v>23.07.2002</v>
      </c>
      <c r="H172" t="s">
        <v>2830</v>
      </c>
      <c r="I172" t="s">
        <v>2831</v>
      </c>
      <c r="J172" t="s">
        <v>2832</v>
      </c>
      <c r="K172" t="s">
        <v>2026</v>
      </c>
    </row>
    <row r="173" spans="1:11" x14ac:dyDescent="0.2">
      <c r="A173" t="s">
        <v>2833</v>
      </c>
      <c r="B173">
        <v>5592066376</v>
      </c>
      <c r="C173" t="s">
        <v>2834</v>
      </c>
      <c r="D173" t="str">
        <f>"30243"</f>
        <v>30243</v>
      </c>
      <c r="E173" t="s">
        <v>2835</v>
      </c>
      <c r="F173" t="s">
        <v>2836</v>
      </c>
      <c r="G173" t="str">
        <f>"22.05.2019"</f>
        <v>22.05.2019</v>
      </c>
      <c r="H173" t="s">
        <v>2837</v>
      </c>
      <c r="I173" t="s">
        <v>2838</v>
      </c>
      <c r="J173" t="s">
        <v>2839</v>
      </c>
      <c r="K173" t="s">
        <v>19</v>
      </c>
    </row>
    <row r="174" spans="1:11" x14ac:dyDescent="0.2">
      <c r="A174" t="s">
        <v>2840</v>
      </c>
      <c r="B174">
        <v>5591166433</v>
      </c>
      <c r="C174" t="s">
        <v>2841</v>
      </c>
      <c r="D174" t="str">
        <f>"55316"</f>
        <v>55316</v>
      </c>
      <c r="E174" t="s">
        <v>2054</v>
      </c>
      <c r="F174" t="s">
        <v>2842</v>
      </c>
      <c r="G174" t="str">
        <f>"22.06.2017"</f>
        <v>22.06.2017</v>
      </c>
      <c r="H174" t="s">
        <v>2843</v>
      </c>
      <c r="I174" t="s">
        <v>2844</v>
      </c>
      <c r="J174" t="s">
        <v>2845</v>
      </c>
      <c r="K174" t="s">
        <v>1894</v>
      </c>
    </row>
    <row r="175" spans="1:11" x14ac:dyDescent="0.2">
      <c r="A175" t="s">
        <v>2846</v>
      </c>
      <c r="B175">
        <v>5569844185</v>
      </c>
      <c r="C175" t="s">
        <v>2847</v>
      </c>
      <c r="D175" t="str">
        <f>"65637"</f>
        <v>65637</v>
      </c>
      <c r="E175" t="s">
        <v>2805</v>
      </c>
      <c r="F175" t="s">
        <v>2848</v>
      </c>
      <c r="G175" t="str">
        <f>"26.09.2014"</f>
        <v>26.09.2014</v>
      </c>
      <c r="H175" t="s">
        <v>2849</v>
      </c>
      <c r="I175" t="s">
        <v>2850</v>
      </c>
      <c r="J175" t="s">
        <v>2851</v>
      </c>
      <c r="K175" t="s">
        <v>1894</v>
      </c>
    </row>
    <row r="176" spans="1:11" x14ac:dyDescent="0.2">
      <c r="A176" t="s">
        <v>2852</v>
      </c>
      <c r="B176">
        <v>5565286423</v>
      </c>
      <c r="C176" t="s">
        <v>2853</v>
      </c>
      <c r="D176" t="str">
        <f>"11131"</f>
        <v>11131</v>
      </c>
      <c r="E176" t="s">
        <v>1883</v>
      </c>
      <c r="F176" t="s">
        <v>2854</v>
      </c>
      <c r="G176" t="str">
        <f>"12.01.1996"</f>
        <v>12.01.1996</v>
      </c>
      <c r="H176" t="s">
        <v>2855</v>
      </c>
      <c r="I176" t="s">
        <v>2856</v>
      </c>
      <c r="J176" t="s">
        <v>2857</v>
      </c>
      <c r="K176" t="s">
        <v>1894</v>
      </c>
    </row>
    <row r="177" spans="1:11" x14ac:dyDescent="0.2">
      <c r="A177" t="s">
        <v>2858</v>
      </c>
      <c r="B177">
        <v>5567044580</v>
      </c>
      <c r="C177" t="s">
        <v>2859</v>
      </c>
      <c r="D177" t="str">
        <f>"11152"</f>
        <v>11152</v>
      </c>
      <c r="E177" t="s">
        <v>1883</v>
      </c>
      <c r="F177" t="s">
        <v>2860</v>
      </c>
      <c r="G177" t="str">
        <f>"20.05.2006"</f>
        <v>20.05.2006</v>
      </c>
      <c r="H177" t="s">
        <v>1307</v>
      </c>
      <c r="I177" t="s">
        <v>2861</v>
      </c>
      <c r="J177" t="s">
        <v>2862</v>
      </c>
      <c r="K177" t="s">
        <v>1310</v>
      </c>
    </row>
    <row r="178" spans="1:11" x14ac:dyDescent="0.2">
      <c r="A178" t="s">
        <v>2863</v>
      </c>
      <c r="B178">
        <v>5567800601</v>
      </c>
      <c r="C178" t="s">
        <v>2864</v>
      </c>
      <c r="D178" t="str">
        <f>"11173"</f>
        <v>11173</v>
      </c>
      <c r="E178" t="s">
        <v>1883</v>
      </c>
      <c r="F178" t="s">
        <v>2865</v>
      </c>
      <c r="G178" t="str">
        <f>"27.03.2009"</f>
        <v>27.03.2009</v>
      </c>
      <c r="H178" t="s">
        <v>2866</v>
      </c>
      <c r="I178" t="s">
        <v>2867</v>
      </c>
      <c r="J178" t="s">
        <v>2868</v>
      </c>
      <c r="K178" t="s">
        <v>1894</v>
      </c>
    </row>
    <row r="179" spans="1:11" x14ac:dyDescent="0.2">
      <c r="A179" t="s">
        <v>2869</v>
      </c>
      <c r="B179">
        <v>5567472047</v>
      </c>
      <c r="C179" t="s">
        <v>2870</v>
      </c>
      <c r="D179" t="str">
        <f>"75309"</f>
        <v>75309</v>
      </c>
      <c r="E179" t="s">
        <v>2260</v>
      </c>
      <c r="F179" t="s">
        <v>2871</v>
      </c>
      <c r="G179" t="str">
        <f>"19.12.2007"</f>
        <v>19.12.2007</v>
      </c>
      <c r="H179" t="s">
        <v>2872</v>
      </c>
      <c r="I179" t="s">
        <v>2873</v>
      </c>
      <c r="J179" t="s">
        <v>2874</v>
      </c>
      <c r="K179" t="s">
        <v>2875</v>
      </c>
    </row>
    <row r="180" spans="1:11" x14ac:dyDescent="0.2">
      <c r="A180" t="s">
        <v>2876</v>
      </c>
      <c r="B180">
        <v>5591608830</v>
      </c>
      <c r="C180" t="s">
        <v>2877</v>
      </c>
      <c r="D180" t="str">
        <f>"11241"</f>
        <v>11241</v>
      </c>
      <c r="E180" t="s">
        <v>1883</v>
      </c>
      <c r="F180" t="s">
        <v>2878</v>
      </c>
      <c r="G180" t="str">
        <f>"31.05.2018"</f>
        <v>31.05.2018</v>
      </c>
      <c r="H180" t="s">
        <v>2879</v>
      </c>
      <c r="I180" t="s">
        <v>2880</v>
      </c>
      <c r="J180" t="s">
        <v>2881</v>
      </c>
      <c r="K180" t="s">
        <v>1894</v>
      </c>
    </row>
    <row r="181" spans="1:11" x14ac:dyDescent="0.2">
      <c r="A181" t="s">
        <v>2882</v>
      </c>
      <c r="B181">
        <v>5591721187</v>
      </c>
      <c r="C181" t="s">
        <v>2883</v>
      </c>
      <c r="D181" t="str">
        <f>"11143"</f>
        <v>11143</v>
      </c>
      <c r="E181" t="s">
        <v>1883</v>
      </c>
      <c r="F181" t="s">
        <v>2884</v>
      </c>
      <c r="G181" t="str">
        <f>"19.09.2018"</f>
        <v>19.09.2018</v>
      </c>
      <c r="H181" t="s">
        <v>2885</v>
      </c>
      <c r="I181" t="s">
        <v>2886</v>
      </c>
      <c r="J181" t="s">
        <v>2887</v>
      </c>
      <c r="K181" t="s">
        <v>1894</v>
      </c>
    </row>
    <row r="182" spans="1:11" x14ac:dyDescent="0.2">
      <c r="A182" t="s">
        <v>2888</v>
      </c>
      <c r="B182">
        <v>5590672613</v>
      </c>
      <c r="C182" t="s">
        <v>2889</v>
      </c>
      <c r="D182" t="str">
        <f>"18362"</f>
        <v>18362</v>
      </c>
      <c r="E182" t="s">
        <v>2890</v>
      </c>
      <c r="F182" t="s">
        <v>2891</v>
      </c>
      <c r="G182" t="str">
        <f>"21.06.2016"</f>
        <v>21.06.2016</v>
      </c>
      <c r="H182" t="s">
        <v>2892</v>
      </c>
      <c r="I182" t="s">
        <v>2893</v>
      </c>
      <c r="J182" t="s">
        <v>2894</v>
      </c>
      <c r="K182" t="s">
        <v>435</v>
      </c>
    </row>
    <row r="183" spans="1:11" x14ac:dyDescent="0.2">
      <c r="A183" t="s">
        <v>2895</v>
      </c>
      <c r="B183">
        <v>5567401293</v>
      </c>
      <c r="C183" t="s">
        <v>2896</v>
      </c>
      <c r="D183" t="str">
        <f>"11160"</f>
        <v>11160</v>
      </c>
      <c r="E183" t="s">
        <v>1883</v>
      </c>
      <c r="F183" t="s">
        <v>2897</v>
      </c>
      <c r="G183" t="str">
        <f>"16.10.2007"</f>
        <v>16.10.2007</v>
      </c>
      <c r="H183" t="s">
        <v>2898</v>
      </c>
      <c r="I183" t="s">
        <v>2899</v>
      </c>
      <c r="J183" t="s">
        <v>2900</v>
      </c>
      <c r="K183" t="s">
        <v>1894</v>
      </c>
    </row>
    <row r="184" spans="1:11" x14ac:dyDescent="0.2">
      <c r="A184" t="s">
        <v>2901</v>
      </c>
      <c r="B184">
        <v>5566694518</v>
      </c>
      <c r="C184" t="s">
        <v>2902</v>
      </c>
      <c r="D184" t="str">
        <f>"47132"</f>
        <v>47132</v>
      </c>
      <c r="E184" t="s">
        <v>2903</v>
      </c>
      <c r="F184" t="s">
        <v>2904</v>
      </c>
      <c r="G184" t="str">
        <f>"29.10.2004"</f>
        <v>29.10.2004</v>
      </c>
      <c r="H184" t="s">
        <v>2905</v>
      </c>
      <c r="I184" t="s">
        <v>2906</v>
      </c>
      <c r="J184" t="s">
        <v>2907</v>
      </c>
      <c r="K184" t="s">
        <v>2002</v>
      </c>
    </row>
    <row r="185" spans="1:11" x14ac:dyDescent="0.2">
      <c r="A185" t="s">
        <v>2908</v>
      </c>
      <c r="B185">
        <v>5592355845</v>
      </c>
      <c r="C185" t="s">
        <v>2909</v>
      </c>
      <c r="D185" t="str">
        <f>"43376"</f>
        <v>43376</v>
      </c>
      <c r="E185" t="s">
        <v>2910</v>
      </c>
      <c r="F185" t="s">
        <v>2911</v>
      </c>
      <c r="G185" t="str">
        <f>"08.01.2020"</f>
        <v>08.01.2020</v>
      </c>
      <c r="H185" t="s">
        <v>2912</v>
      </c>
      <c r="I185" t="s">
        <v>2913</v>
      </c>
      <c r="J185" t="s">
        <v>2914</v>
      </c>
      <c r="K185" t="s">
        <v>1894</v>
      </c>
    </row>
    <row r="186" spans="1:11" x14ac:dyDescent="0.2">
      <c r="A186" t="s">
        <v>2915</v>
      </c>
      <c r="B186">
        <v>5591391874</v>
      </c>
      <c r="C186" t="s">
        <v>2916</v>
      </c>
      <c r="D186" t="str">
        <f>"19454"</f>
        <v>19454</v>
      </c>
      <c r="E186" t="s">
        <v>2917</v>
      </c>
      <c r="F186" t="s">
        <v>2918</v>
      </c>
      <c r="G186" t="str">
        <f>"13.12.2017"</f>
        <v>13.12.2017</v>
      </c>
      <c r="H186" t="s">
        <v>2919</v>
      </c>
      <c r="I186" t="s">
        <v>2920</v>
      </c>
      <c r="J186" t="s">
        <v>2921</v>
      </c>
      <c r="K186" t="s">
        <v>19</v>
      </c>
    </row>
    <row r="187" spans="1:11" x14ac:dyDescent="0.2">
      <c r="A187" t="s">
        <v>2922</v>
      </c>
      <c r="B187">
        <v>5566771076</v>
      </c>
      <c r="C187" t="s">
        <v>2923</v>
      </c>
      <c r="D187" t="str">
        <f>"83134"</f>
        <v>83134</v>
      </c>
      <c r="E187" t="s">
        <v>2586</v>
      </c>
      <c r="F187" t="s">
        <v>2924</v>
      </c>
      <c r="G187" t="str">
        <f>"03.03.2005"</f>
        <v>03.03.2005</v>
      </c>
      <c r="H187" t="s">
        <v>2925</v>
      </c>
      <c r="I187" t="s">
        <v>2926</v>
      </c>
      <c r="J187" t="s">
        <v>2927</v>
      </c>
      <c r="K187" t="s">
        <v>1894</v>
      </c>
    </row>
    <row r="188" spans="1:11" x14ac:dyDescent="0.2">
      <c r="A188" t="s">
        <v>2928</v>
      </c>
      <c r="B188">
        <v>5568452253</v>
      </c>
      <c r="C188" t="s">
        <v>2929</v>
      </c>
      <c r="D188" t="str">
        <f>"19135"</f>
        <v>19135</v>
      </c>
      <c r="E188" t="s">
        <v>1954</v>
      </c>
      <c r="F188" t="s">
        <v>2930</v>
      </c>
      <c r="G188" t="str">
        <f>"09.03.2011"</f>
        <v>09.03.2011</v>
      </c>
      <c r="H188" t="s">
        <v>2931</v>
      </c>
      <c r="I188" t="s">
        <v>2932</v>
      </c>
      <c r="J188" t="s">
        <v>2933</v>
      </c>
      <c r="K188" t="s">
        <v>1894</v>
      </c>
    </row>
    <row r="189" spans="1:11" x14ac:dyDescent="0.2">
      <c r="A189" t="s">
        <v>2934</v>
      </c>
      <c r="B189">
        <v>5568166804</v>
      </c>
      <c r="C189" t="s">
        <v>2935</v>
      </c>
      <c r="D189" t="str">
        <f>"11446"</f>
        <v>11446</v>
      </c>
      <c r="E189" t="s">
        <v>1883</v>
      </c>
      <c r="F189" t="s">
        <v>2936</v>
      </c>
      <c r="G189" t="str">
        <f>"25.08.2010"</f>
        <v>25.08.2010</v>
      </c>
      <c r="H189" t="s">
        <v>2937</v>
      </c>
      <c r="I189" t="s">
        <v>2938</v>
      </c>
      <c r="J189" t="s">
        <v>2939</v>
      </c>
      <c r="K189" t="s">
        <v>2940</v>
      </c>
    </row>
    <row r="190" spans="1:11" x14ac:dyDescent="0.2">
      <c r="A190" t="s">
        <v>2941</v>
      </c>
      <c r="B190">
        <v>5592503741</v>
      </c>
      <c r="C190" t="s">
        <v>2942</v>
      </c>
      <c r="D190" t="str">
        <f>"17233"</f>
        <v>17233</v>
      </c>
      <c r="E190" t="s">
        <v>2144</v>
      </c>
      <c r="F190" t="s">
        <v>2943</v>
      </c>
      <c r="G190" t="str">
        <f>"31.03.2020"</f>
        <v>31.03.2020</v>
      </c>
      <c r="H190" t="s">
        <v>2944</v>
      </c>
      <c r="I190" t="s">
        <v>2945</v>
      </c>
      <c r="J190" t="s">
        <v>2946</v>
      </c>
      <c r="K190" t="s">
        <v>1894</v>
      </c>
    </row>
    <row r="191" spans="1:11" x14ac:dyDescent="0.2">
      <c r="A191" t="s">
        <v>2947</v>
      </c>
      <c r="B191">
        <v>5590168810</v>
      </c>
      <c r="C191" t="s">
        <v>2948</v>
      </c>
      <c r="D191" t="str">
        <f>"21122"</f>
        <v>21122</v>
      </c>
      <c r="E191" t="s">
        <v>1941</v>
      </c>
      <c r="F191" t="s">
        <v>2949</v>
      </c>
      <c r="G191" t="str">
        <f>"10.06.2015"</f>
        <v>10.06.2015</v>
      </c>
      <c r="H191" t="s">
        <v>315</v>
      </c>
      <c r="I191" t="s">
        <v>2950</v>
      </c>
      <c r="J191" t="s">
        <v>2951</v>
      </c>
      <c r="K191" t="s">
        <v>2952</v>
      </c>
    </row>
    <row r="192" spans="1:11" x14ac:dyDescent="0.2">
      <c r="A192" t="s">
        <v>2953</v>
      </c>
      <c r="B192">
        <v>5565960753</v>
      </c>
      <c r="C192" t="s">
        <v>2954</v>
      </c>
      <c r="D192" t="str">
        <f>"26993"</f>
        <v>26993</v>
      </c>
      <c r="E192" t="s">
        <v>2955</v>
      </c>
      <c r="F192" t="s">
        <v>2956</v>
      </c>
      <c r="G192" t="str">
        <f>"01.09.2000"</f>
        <v>01.09.2000</v>
      </c>
      <c r="H192" t="s">
        <v>2957</v>
      </c>
      <c r="I192" t="s">
        <v>2958</v>
      </c>
      <c r="J192" t="s">
        <v>2959</v>
      </c>
      <c r="K192" t="s">
        <v>1894</v>
      </c>
    </row>
    <row r="193" spans="1:11" x14ac:dyDescent="0.2">
      <c r="A193" t="s">
        <v>2960</v>
      </c>
      <c r="B193">
        <v>5569279309</v>
      </c>
      <c r="C193" t="s">
        <v>2961</v>
      </c>
      <c r="D193" t="str">
        <f>"11151"</f>
        <v>11151</v>
      </c>
      <c r="E193" t="s">
        <v>1883</v>
      </c>
      <c r="F193" t="s">
        <v>2962</v>
      </c>
      <c r="G193" t="str">
        <f>"08.04.2013"</f>
        <v>08.04.2013</v>
      </c>
      <c r="H193" t="s">
        <v>2963</v>
      </c>
      <c r="I193" t="s">
        <v>2964</v>
      </c>
      <c r="J193" t="s">
        <v>2965</v>
      </c>
      <c r="K193" t="s">
        <v>1894</v>
      </c>
    </row>
    <row r="194" spans="1:11" x14ac:dyDescent="0.2">
      <c r="A194" t="s">
        <v>2966</v>
      </c>
      <c r="B194">
        <v>5568147390</v>
      </c>
      <c r="C194" t="s">
        <v>2291</v>
      </c>
      <c r="D194" t="str">
        <f>"11156"</f>
        <v>11156</v>
      </c>
      <c r="E194" t="s">
        <v>1883</v>
      </c>
      <c r="F194" t="s">
        <v>2967</v>
      </c>
      <c r="G194" t="str">
        <f>"13.07.2010"</f>
        <v>13.07.2010</v>
      </c>
      <c r="H194" t="s">
        <v>2968</v>
      </c>
      <c r="I194" t="s">
        <v>2969</v>
      </c>
      <c r="J194" t="s">
        <v>2970</v>
      </c>
      <c r="K194" t="s">
        <v>1894</v>
      </c>
    </row>
    <row r="195" spans="1:11" x14ac:dyDescent="0.2">
      <c r="A195" t="s">
        <v>2971</v>
      </c>
      <c r="B195">
        <v>5569478273</v>
      </c>
      <c r="C195" t="s">
        <v>2972</v>
      </c>
      <c r="D195" t="str">
        <f>"11144"</f>
        <v>11144</v>
      </c>
      <c r="E195" t="s">
        <v>1883</v>
      </c>
      <c r="F195" t="s">
        <v>2973</v>
      </c>
      <c r="G195" t="str">
        <f>"06.11.2013"</f>
        <v>06.11.2013</v>
      </c>
      <c r="H195" t="s">
        <v>2974</v>
      </c>
      <c r="I195" t="s">
        <v>2975</v>
      </c>
      <c r="J195" t="s">
        <v>2976</v>
      </c>
      <c r="K195" t="s">
        <v>2123</v>
      </c>
    </row>
    <row r="196" spans="1:11" x14ac:dyDescent="0.2">
      <c r="A196" t="s">
        <v>2977</v>
      </c>
      <c r="B196">
        <v>5568828908</v>
      </c>
      <c r="C196" t="s">
        <v>2978</v>
      </c>
      <c r="D196" t="str">
        <f>"11218"</f>
        <v>11218</v>
      </c>
      <c r="E196" t="s">
        <v>1883</v>
      </c>
      <c r="F196" t="s">
        <v>2979</v>
      </c>
      <c r="G196" t="str">
        <f>"01.02.2012"</f>
        <v>01.02.2012</v>
      </c>
      <c r="H196" t="s">
        <v>2980</v>
      </c>
      <c r="I196" t="s">
        <v>2981</v>
      </c>
      <c r="J196" t="s">
        <v>2982</v>
      </c>
      <c r="K196" t="s">
        <v>19</v>
      </c>
    </row>
    <row r="197" spans="1:11" x14ac:dyDescent="0.2">
      <c r="A197" t="s">
        <v>2983</v>
      </c>
      <c r="B197">
        <v>5566247747</v>
      </c>
      <c r="C197" t="s">
        <v>2984</v>
      </c>
      <c r="D197" t="str">
        <f>"70210"</f>
        <v>70210</v>
      </c>
      <c r="E197" t="s">
        <v>2186</v>
      </c>
      <c r="F197" t="s">
        <v>2985</v>
      </c>
      <c r="G197" t="str">
        <f>"05.03.2002"</f>
        <v>05.03.2002</v>
      </c>
      <c r="H197" t="s">
        <v>2986</v>
      </c>
      <c r="I197" t="s">
        <v>2987</v>
      </c>
      <c r="J197" t="s">
        <v>2988</v>
      </c>
      <c r="K197" t="s">
        <v>19</v>
      </c>
    </row>
    <row r="198" spans="1:11" x14ac:dyDescent="0.2">
      <c r="A198" t="s">
        <v>2989</v>
      </c>
      <c r="B198">
        <v>5566296322</v>
      </c>
      <c r="C198" t="s">
        <v>2990</v>
      </c>
      <c r="D198" t="str">
        <f>"11153"</f>
        <v>11153</v>
      </c>
      <c r="E198" t="s">
        <v>1883</v>
      </c>
      <c r="F198" t="s">
        <v>2991</v>
      </c>
      <c r="G198" t="str">
        <f>"22.07.2002"</f>
        <v>22.07.2002</v>
      </c>
      <c r="H198" t="s">
        <v>2992</v>
      </c>
      <c r="I198" t="s">
        <v>2993</v>
      </c>
      <c r="J198" t="s">
        <v>2994</v>
      </c>
      <c r="K198" t="s">
        <v>2995</v>
      </c>
    </row>
    <row r="199" spans="1:11" x14ac:dyDescent="0.2">
      <c r="A199" t="s">
        <v>2996</v>
      </c>
      <c r="B199">
        <v>5567745863</v>
      </c>
      <c r="C199" t="s">
        <v>2997</v>
      </c>
      <c r="D199" t="str">
        <f>"10366"</f>
        <v>10366</v>
      </c>
      <c r="E199" t="s">
        <v>1883</v>
      </c>
      <c r="F199" t="s">
        <v>2998</v>
      </c>
      <c r="G199" t="str">
        <f>"29.12.2008"</f>
        <v>29.12.2008</v>
      </c>
      <c r="H199" t="s">
        <v>2999</v>
      </c>
      <c r="I199" t="s">
        <v>3000</v>
      </c>
      <c r="J199" t="s">
        <v>3001</v>
      </c>
      <c r="K199" t="s">
        <v>1894</v>
      </c>
    </row>
    <row r="200" spans="1:11" x14ac:dyDescent="0.2">
      <c r="A200" t="s">
        <v>7002</v>
      </c>
      <c r="B200">
        <v>5566147368</v>
      </c>
      <c r="C200" t="s">
        <v>7003</v>
      </c>
      <c r="D200" t="str">
        <f>"41250"</f>
        <v>41250</v>
      </c>
      <c r="E200" t="s">
        <v>1890</v>
      </c>
      <c r="F200" t="s">
        <v>7004</v>
      </c>
      <c r="G200" t="str">
        <f>"05.09.2001"</f>
        <v>05.09.2001</v>
      </c>
      <c r="H200" t="s">
        <v>7005</v>
      </c>
      <c r="I200" t="s">
        <v>7006</v>
      </c>
      <c r="J200" t="s">
        <v>7007</v>
      </c>
      <c r="K200" t="s">
        <v>7008</v>
      </c>
    </row>
    <row r="201" spans="1:11" x14ac:dyDescent="0.2">
      <c r="A201" t="s">
        <v>3002</v>
      </c>
      <c r="B201">
        <v>5590502778</v>
      </c>
      <c r="C201" t="s">
        <v>3003</v>
      </c>
      <c r="D201" t="str">
        <f>"38245"</f>
        <v>38245</v>
      </c>
      <c r="E201" t="s">
        <v>3004</v>
      </c>
      <c r="F201" t="s">
        <v>3005</v>
      </c>
      <c r="G201" t="str">
        <f>"05.02.2016"</f>
        <v>05.02.2016</v>
      </c>
      <c r="H201" t="s">
        <v>3006</v>
      </c>
      <c r="I201" t="s">
        <v>3007</v>
      </c>
      <c r="J201" t="s">
        <v>3008</v>
      </c>
      <c r="K201" t="s">
        <v>1894</v>
      </c>
    </row>
    <row r="202" spans="1:11" x14ac:dyDescent="0.2">
      <c r="A202" t="s">
        <v>3009</v>
      </c>
      <c r="B202">
        <v>5590142575</v>
      </c>
      <c r="C202" t="s">
        <v>2047</v>
      </c>
      <c r="D202" t="str">
        <f>"41505"</f>
        <v>41505</v>
      </c>
      <c r="E202" t="s">
        <v>1890</v>
      </c>
      <c r="F202" t="s">
        <v>2048</v>
      </c>
      <c r="G202" t="str">
        <f>"19.05.2015"</f>
        <v>19.05.2015</v>
      </c>
      <c r="H202" t="s">
        <v>2049</v>
      </c>
      <c r="I202" t="s">
        <v>3010</v>
      </c>
      <c r="J202" t="s">
        <v>2051</v>
      </c>
      <c r="K202" t="s">
        <v>1894</v>
      </c>
    </row>
    <row r="203" spans="1:11" x14ac:dyDescent="0.2">
      <c r="A203" t="s">
        <v>3011</v>
      </c>
      <c r="B203">
        <v>5591629620</v>
      </c>
      <c r="C203" t="s">
        <v>3012</v>
      </c>
      <c r="D203" t="str">
        <f>"10061"</f>
        <v>10061</v>
      </c>
      <c r="E203" t="s">
        <v>1883</v>
      </c>
      <c r="F203" t="s">
        <v>3013</v>
      </c>
      <c r="G203" t="str">
        <f>"20.06.2018"</f>
        <v>20.06.2018</v>
      </c>
      <c r="H203" t="s">
        <v>3014</v>
      </c>
      <c r="I203" t="s">
        <v>3015</v>
      </c>
      <c r="J203" t="s">
        <v>3016</v>
      </c>
      <c r="K203" t="s">
        <v>1894</v>
      </c>
    </row>
    <row r="204" spans="1:11" x14ac:dyDescent="0.2">
      <c r="A204" t="s">
        <v>3017</v>
      </c>
      <c r="B204">
        <v>5563984904</v>
      </c>
      <c r="C204" t="s">
        <v>3018</v>
      </c>
      <c r="D204" t="str">
        <f>"41105"</f>
        <v>41105</v>
      </c>
      <c r="E204" t="s">
        <v>1890</v>
      </c>
      <c r="F204" t="s">
        <v>3019</v>
      </c>
      <c r="G204" t="str">
        <f>"27.06.1990"</f>
        <v>27.06.1990</v>
      </c>
      <c r="H204" t="s">
        <v>3020</v>
      </c>
      <c r="I204" t="s">
        <v>3021</v>
      </c>
      <c r="J204" t="s">
        <v>3022</v>
      </c>
      <c r="K204" t="s">
        <v>1894</v>
      </c>
    </row>
    <row r="205" spans="1:11" x14ac:dyDescent="0.2">
      <c r="A205" t="s">
        <v>3023</v>
      </c>
      <c r="B205">
        <v>5567108757</v>
      </c>
      <c r="C205" t="s">
        <v>3024</v>
      </c>
      <c r="D205" t="str">
        <f>"11122"</f>
        <v>11122</v>
      </c>
      <c r="E205" t="s">
        <v>1883</v>
      </c>
      <c r="F205" t="s">
        <v>3025</v>
      </c>
      <c r="G205" t="str">
        <f>"14.09.2006"</f>
        <v>14.09.2006</v>
      </c>
      <c r="H205" t="s">
        <v>3026</v>
      </c>
      <c r="I205" t="s">
        <v>3027</v>
      </c>
      <c r="J205" t="s">
        <v>3028</v>
      </c>
      <c r="K205" t="s">
        <v>1894</v>
      </c>
    </row>
    <row r="206" spans="1:11" x14ac:dyDescent="0.2">
      <c r="A206" t="s">
        <v>3029</v>
      </c>
      <c r="B206">
        <v>5567462428</v>
      </c>
      <c r="C206" t="s">
        <v>3030</v>
      </c>
      <c r="D206" t="str">
        <f>"70232"</f>
        <v>70232</v>
      </c>
      <c r="E206" t="s">
        <v>2186</v>
      </c>
      <c r="F206" t="s">
        <v>3031</v>
      </c>
      <c r="G206" t="str">
        <f>"11.12.2007"</f>
        <v>11.12.2007</v>
      </c>
      <c r="H206" t="s">
        <v>3032</v>
      </c>
      <c r="I206" t="s">
        <v>3033</v>
      </c>
      <c r="J206" t="s">
        <v>3034</v>
      </c>
      <c r="K206" t="s">
        <v>1894</v>
      </c>
    </row>
    <row r="207" spans="1:11" x14ac:dyDescent="0.2">
      <c r="A207" t="s">
        <v>3035</v>
      </c>
      <c r="B207">
        <v>5591508840</v>
      </c>
      <c r="C207" t="s">
        <v>3036</v>
      </c>
      <c r="D207" t="str">
        <f>"11151"</f>
        <v>11151</v>
      </c>
      <c r="E207" t="s">
        <v>1883</v>
      </c>
      <c r="F207" t="s">
        <v>3037</v>
      </c>
      <c r="G207" t="str">
        <f>"01.03.2018"</f>
        <v>01.03.2018</v>
      </c>
      <c r="H207" t="s">
        <v>3038</v>
      </c>
      <c r="I207" t="s">
        <v>3039</v>
      </c>
      <c r="J207" t="s">
        <v>3040</v>
      </c>
      <c r="K207" t="s">
        <v>1894</v>
      </c>
    </row>
    <row r="208" spans="1:11" x14ac:dyDescent="0.2">
      <c r="A208" t="s">
        <v>3041</v>
      </c>
      <c r="B208">
        <v>5566236179</v>
      </c>
      <c r="C208" t="s">
        <v>3042</v>
      </c>
      <c r="D208" t="str">
        <f>"37435"</f>
        <v>37435</v>
      </c>
      <c r="E208" t="s">
        <v>3043</v>
      </c>
      <c r="F208" t="s">
        <v>3044</v>
      </c>
      <c r="G208" t="str">
        <f>"22.02.2002"</f>
        <v>22.02.2002</v>
      </c>
      <c r="H208" t="s">
        <v>3045</v>
      </c>
      <c r="I208" t="s">
        <v>3046</v>
      </c>
      <c r="J208" t="s">
        <v>3047</v>
      </c>
      <c r="K208" t="s">
        <v>1894</v>
      </c>
    </row>
    <row r="209" spans="1:11" x14ac:dyDescent="0.2">
      <c r="A209" t="s">
        <v>3048</v>
      </c>
      <c r="B209">
        <v>5566961867</v>
      </c>
      <c r="C209" t="s">
        <v>3049</v>
      </c>
      <c r="D209" t="str">
        <f>"11645"</f>
        <v>11645</v>
      </c>
      <c r="E209" t="s">
        <v>1883</v>
      </c>
      <c r="F209" t="s">
        <v>3050</v>
      </c>
      <c r="G209" t="str">
        <f>"11.01.2006"</f>
        <v>11.01.2006</v>
      </c>
      <c r="H209" t="s">
        <v>3051</v>
      </c>
      <c r="I209" t="s">
        <v>3052</v>
      </c>
      <c r="J209" t="s">
        <v>3053</v>
      </c>
      <c r="K209" t="s">
        <v>1894</v>
      </c>
    </row>
    <row r="210" spans="1:11" x14ac:dyDescent="0.2">
      <c r="A210" t="s">
        <v>3054</v>
      </c>
      <c r="B210">
        <v>5565869848</v>
      </c>
      <c r="C210" t="s">
        <v>3055</v>
      </c>
      <c r="D210" t="str">
        <f>"11437"</f>
        <v>11437</v>
      </c>
      <c r="E210" t="s">
        <v>1883</v>
      </c>
      <c r="F210" t="s">
        <v>3056</v>
      </c>
      <c r="G210" t="str">
        <f>"13.03.2000"</f>
        <v>13.03.2000</v>
      </c>
      <c r="H210" t="s">
        <v>3057</v>
      </c>
      <c r="I210" t="s">
        <v>3058</v>
      </c>
      <c r="J210" t="s">
        <v>3059</v>
      </c>
      <c r="K210" t="s">
        <v>1894</v>
      </c>
    </row>
    <row r="211" spans="1:11" x14ac:dyDescent="0.2">
      <c r="A211" t="s">
        <v>3060</v>
      </c>
      <c r="B211">
        <v>5591146047</v>
      </c>
      <c r="C211" t="s">
        <v>2156</v>
      </c>
      <c r="D211" t="str">
        <f>"11446"</f>
        <v>11446</v>
      </c>
      <c r="E211" t="s">
        <v>1883</v>
      </c>
      <c r="F211" t="s">
        <v>3061</v>
      </c>
      <c r="G211" t="str">
        <f>"05.06.2017"</f>
        <v>05.06.2017</v>
      </c>
      <c r="H211" t="s">
        <v>3062</v>
      </c>
      <c r="I211" t="s">
        <v>3063</v>
      </c>
      <c r="J211" t="s">
        <v>3064</v>
      </c>
      <c r="K211" t="s">
        <v>19</v>
      </c>
    </row>
    <row r="212" spans="1:11" x14ac:dyDescent="0.2">
      <c r="A212" t="s">
        <v>3065</v>
      </c>
      <c r="B212">
        <v>5591158349</v>
      </c>
      <c r="C212" t="s">
        <v>3066</v>
      </c>
      <c r="D212" t="str">
        <f>"19273"</f>
        <v>19273</v>
      </c>
      <c r="E212" t="s">
        <v>1954</v>
      </c>
      <c r="F212" t="s">
        <v>3067</v>
      </c>
      <c r="G212" t="str">
        <f>"16.06.2017"</f>
        <v>16.06.2017</v>
      </c>
      <c r="H212" t="s">
        <v>3068</v>
      </c>
      <c r="I212" t="s">
        <v>3069</v>
      </c>
      <c r="J212" t="s">
        <v>3070</v>
      </c>
      <c r="K212" t="s">
        <v>19</v>
      </c>
    </row>
    <row r="213" spans="1:11" x14ac:dyDescent="0.2">
      <c r="A213" t="s">
        <v>3071</v>
      </c>
      <c r="B213">
        <v>5591235303</v>
      </c>
      <c r="C213" t="s">
        <v>3072</v>
      </c>
      <c r="D213" t="str">
        <f>"41133"</f>
        <v>41133</v>
      </c>
      <c r="E213" t="s">
        <v>1890</v>
      </c>
      <c r="F213" t="s">
        <v>3073</v>
      </c>
      <c r="G213" t="str">
        <f>"31.08.2017"</f>
        <v>31.08.2017</v>
      </c>
      <c r="H213" t="s">
        <v>3074</v>
      </c>
      <c r="I213" t="s">
        <v>3075</v>
      </c>
      <c r="J213" t="s">
        <v>3076</v>
      </c>
      <c r="K213" t="s">
        <v>1894</v>
      </c>
    </row>
    <row r="214" spans="1:11" x14ac:dyDescent="0.2">
      <c r="A214" t="s">
        <v>3077</v>
      </c>
      <c r="B214">
        <v>5590708995</v>
      </c>
      <c r="C214" t="s">
        <v>3078</v>
      </c>
      <c r="D214" t="str">
        <f>"58220"</f>
        <v>58220</v>
      </c>
      <c r="E214" t="s">
        <v>2828</v>
      </c>
      <c r="F214" t="s">
        <v>3079</v>
      </c>
      <c r="G214" t="str">
        <f>"19.07.2016"</f>
        <v>19.07.2016</v>
      </c>
      <c r="H214" t="s">
        <v>3080</v>
      </c>
      <c r="I214" t="s">
        <v>3081</v>
      </c>
      <c r="J214" t="s">
        <v>3082</v>
      </c>
      <c r="K214" t="s">
        <v>19</v>
      </c>
    </row>
    <row r="215" spans="1:11" x14ac:dyDescent="0.2">
      <c r="A215" t="s">
        <v>3083</v>
      </c>
      <c r="B215">
        <v>5562921394</v>
      </c>
      <c r="C215" t="s">
        <v>3084</v>
      </c>
      <c r="D215" t="str">
        <f>"21235"</f>
        <v>21235</v>
      </c>
      <c r="E215" t="s">
        <v>1941</v>
      </c>
      <c r="F215" t="s">
        <v>3085</v>
      </c>
      <c r="G215" t="str">
        <f>"22.01.1987"</f>
        <v>22.01.1987</v>
      </c>
      <c r="H215" t="s">
        <v>315</v>
      </c>
      <c r="I215" t="s">
        <v>3086</v>
      </c>
      <c r="J215" t="s">
        <v>3087</v>
      </c>
      <c r="K215" t="s">
        <v>1894</v>
      </c>
    </row>
    <row r="216" spans="1:11" x14ac:dyDescent="0.2">
      <c r="A216" t="s">
        <v>3088</v>
      </c>
      <c r="B216">
        <v>5590492681</v>
      </c>
      <c r="C216" t="s">
        <v>3089</v>
      </c>
      <c r="D216" t="str">
        <f>"10123"</f>
        <v>10123</v>
      </c>
      <c r="E216" t="s">
        <v>1883</v>
      </c>
      <c r="F216" t="s">
        <v>3090</v>
      </c>
      <c r="G216" t="str">
        <f>"29.01.2016"</f>
        <v>29.01.2016</v>
      </c>
      <c r="H216" t="s">
        <v>3091</v>
      </c>
      <c r="I216" t="s">
        <v>3092</v>
      </c>
      <c r="J216" t="s">
        <v>3093</v>
      </c>
      <c r="K216" t="s">
        <v>1894</v>
      </c>
    </row>
    <row r="217" spans="1:11" x14ac:dyDescent="0.2">
      <c r="A217" t="s">
        <v>3094</v>
      </c>
      <c r="B217">
        <v>5565701488</v>
      </c>
      <c r="C217" t="s">
        <v>3095</v>
      </c>
      <c r="D217" t="str">
        <f>"11625"</f>
        <v>11625</v>
      </c>
      <c r="E217" t="s">
        <v>1883</v>
      </c>
      <c r="F217" t="s">
        <v>3096</v>
      </c>
      <c r="G217" t="str">
        <f>"26.04.1999"</f>
        <v>26.04.1999</v>
      </c>
      <c r="H217" t="s">
        <v>1936</v>
      </c>
      <c r="I217" t="s">
        <v>3097</v>
      </c>
      <c r="J217" t="s">
        <v>3098</v>
      </c>
      <c r="K217" t="s">
        <v>2689</v>
      </c>
    </row>
    <row r="218" spans="1:11" x14ac:dyDescent="0.2">
      <c r="A218" t="s">
        <v>3099</v>
      </c>
      <c r="B218">
        <v>5565897294</v>
      </c>
      <c r="C218" t="s">
        <v>3100</v>
      </c>
      <c r="D218" t="str">
        <f>"11121"</f>
        <v>11121</v>
      </c>
      <c r="E218" t="s">
        <v>1883</v>
      </c>
      <c r="F218" t="s">
        <v>3101</v>
      </c>
      <c r="G218" t="str">
        <f>"11.04.2000"</f>
        <v>11.04.2000</v>
      </c>
      <c r="H218" t="s">
        <v>3102</v>
      </c>
      <c r="I218" t="s">
        <v>3103</v>
      </c>
      <c r="J218" t="s">
        <v>3104</v>
      </c>
      <c r="K218" t="s">
        <v>1767</v>
      </c>
    </row>
    <row r="219" spans="1:11" x14ac:dyDescent="0.2">
      <c r="A219" t="s">
        <v>3105</v>
      </c>
      <c r="B219">
        <v>5566757810</v>
      </c>
      <c r="C219" t="s">
        <v>3106</v>
      </c>
      <c r="D219" t="str">
        <f>"11664"</f>
        <v>11664</v>
      </c>
      <c r="E219" t="s">
        <v>1883</v>
      </c>
      <c r="F219" t="s">
        <v>3107</v>
      </c>
      <c r="G219" t="str">
        <f>"02.02.2005"</f>
        <v>02.02.2005</v>
      </c>
      <c r="H219" t="s">
        <v>3108</v>
      </c>
      <c r="I219" t="s">
        <v>3109</v>
      </c>
      <c r="J219" t="s">
        <v>3110</v>
      </c>
      <c r="K219" t="s">
        <v>942</v>
      </c>
    </row>
    <row r="220" spans="1:11" x14ac:dyDescent="0.2">
      <c r="A220" t="s">
        <v>3111</v>
      </c>
      <c r="B220">
        <v>5569560351</v>
      </c>
      <c r="C220" t="s">
        <v>3112</v>
      </c>
      <c r="D220" t="str">
        <f>"41107"</f>
        <v>41107</v>
      </c>
      <c r="E220" t="s">
        <v>1890</v>
      </c>
      <c r="F220" t="s">
        <v>3113</v>
      </c>
      <c r="G220" t="str">
        <f>"19.12.2013"</f>
        <v>19.12.2013</v>
      </c>
      <c r="H220" t="s">
        <v>3114</v>
      </c>
      <c r="I220" t="s">
        <v>3115</v>
      </c>
      <c r="J220" t="s">
        <v>3116</v>
      </c>
      <c r="K220" t="s">
        <v>1894</v>
      </c>
    </row>
    <row r="221" spans="1:11" x14ac:dyDescent="0.2">
      <c r="A221" t="s">
        <v>3117</v>
      </c>
      <c r="B221">
        <v>5592278393</v>
      </c>
      <c r="C221" t="s">
        <v>3118</v>
      </c>
      <c r="D221" t="str">
        <f>"75262"</f>
        <v>75262</v>
      </c>
      <c r="E221" t="s">
        <v>2260</v>
      </c>
      <c r="F221" t="s">
        <v>3119</v>
      </c>
      <c r="G221" t="str">
        <f>"21.11.2019"</f>
        <v>21.11.2019</v>
      </c>
      <c r="H221" t="s">
        <v>315</v>
      </c>
      <c r="I221" t="s">
        <v>3120</v>
      </c>
      <c r="J221" t="s">
        <v>3121</v>
      </c>
      <c r="K221" t="s">
        <v>1894</v>
      </c>
    </row>
    <row r="222" spans="1:11" x14ac:dyDescent="0.2">
      <c r="A222" t="s">
        <v>3122</v>
      </c>
      <c r="B222">
        <v>5565731378</v>
      </c>
      <c r="C222" t="s">
        <v>3123</v>
      </c>
      <c r="D222" t="str">
        <f>"11348"</f>
        <v>11348</v>
      </c>
      <c r="E222" t="s">
        <v>1883</v>
      </c>
      <c r="F222" t="s">
        <v>3124</v>
      </c>
      <c r="G222" t="str">
        <f>"21.07.1999"</f>
        <v>21.07.1999</v>
      </c>
      <c r="H222" t="s">
        <v>3125</v>
      </c>
      <c r="I222" t="s">
        <v>3126</v>
      </c>
      <c r="J222" t="s">
        <v>3127</v>
      </c>
      <c r="K222" t="s">
        <v>1894</v>
      </c>
    </row>
    <row r="223" spans="1:11" x14ac:dyDescent="0.2">
      <c r="A223" t="s">
        <v>3128</v>
      </c>
      <c r="B223">
        <v>5569366668</v>
      </c>
      <c r="C223" t="s">
        <v>3129</v>
      </c>
      <c r="D223" t="str">
        <f>"11625"</f>
        <v>11625</v>
      </c>
      <c r="E223" t="s">
        <v>1883</v>
      </c>
      <c r="F223" t="s">
        <v>3130</v>
      </c>
      <c r="G223" t="str">
        <f>"03.07.2013"</f>
        <v>03.07.2013</v>
      </c>
      <c r="H223" t="s">
        <v>3131</v>
      </c>
      <c r="I223" t="s">
        <v>3132</v>
      </c>
      <c r="J223" t="s">
        <v>3133</v>
      </c>
      <c r="K223" t="s">
        <v>3134</v>
      </c>
    </row>
    <row r="224" spans="1:11" x14ac:dyDescent="0.2">
      <c r="A224" t="s">
        <v>3135</v>
      </c>
      <c r="B224">
        <v>5566914130</v>
      </c>
      <c r="C224" t="s">
        <v>3136</v>
      </c>
      <c r="D224" t="str">
        <f>"37122"</f>
        <v>37122</v>
      </c>
      <c r="E224" t="s">
        <v>3137</v>
      </c>
      <c r="F224" t="s">
        <v>3138</v>
      </c>
      <c r="G224" t="str">
        <f>"24.11.2005"</f>
        <v>24.11.2005</v>
      </c>
      <c r="H224" t="s">
        <v>3139</v>
      </c>
      <c r="I224" t="s">
        <v>3140</v>
      </c>
      <c r="J224" t="s">
        <v>3141</v>
      </c>
      <c r="K224" t="s">
        <v>1894</v>
      </c>
    </row>
    <row r="225" spans="1:11" x14ac:dyDescent="0.2">
      <c r="A225" t="s">
        <v>3142</v>
      </c>
      <c r="B225">
        <v>5569883019</v>
      </c>
      <c r="C225" t="s">
        <v>3143</v>
      </c>
      <c r="D225" t="str">
        <f>"43533"</f>
        <v>43533</v>
      </c>
      <c r="E225" t="s">
        <v>3144</v>
      </c>
      <c r="F225" t="s">
        <v>3145</v>
      </c>
      <c r="G225" t="str">
        <f>"30.10.2014"</f>
        <v>30.10.2014</v>
      </c>
      <c r="H225" t="s">
        <v>2770</v>
      </c>
      <c r="I225" t="s">
        <v>3146</v>
      </c>
      <c r="J225" t="s">
        <v>3147</v>
      </c>
      <c r="K225" t="s">
        <v>1894</v>
      </c>
    </row>
    <row r="226" spans="1:11" x14ac:dyDescent="0.2">
      <c r="A226" t="s">
        <v>3148</v>
      </c>
      <c r="B226">
        <v>5567997753</v>
      </c>
      <c r="C226" t="s">
        <v>3149</v>
      </c>
      <c r="D226" t="str">
        <f>"20574"</f>
        <v>20574</v>
      </c>
      <c r="E226" t="s">
        <v>1941</v>
      </c>
      <c r="F226" t="s">
        <v>3150</v>
      </c>
      <c r="G226" t="str">
        <f>"25.01.2010"</f>
        <v>25.01.2010</v>
      </c>
      <c r="H226" t="s">
        <v>3151</v>
      </c>
      <c r="I226" t="s">
        <v>3152</v>
      </c>
      <c r="J226" t="s">
        <v>3153</v>
      </c>
      <c r="K226" t="s">
        <v>3154</v>
      </c>
    </row>
    <row r="227" spans="1:11" x14ac:dyDescent="0.2">
      <c r="A227" t="s">
        <v>3155</v>
      </c>
      <c r="B227">
        <v>5565659009</v>
      </c>
      <c r="C227" t="s">
        <v>3156</v>
      </c>
      <c r="D227" t="str">
        <f>"41110"</f>
        <v>41110</v>
      </c>
      <c r="E227" t="s">
        <v>1890</v>
      </c>
      <c r="F227" t="s">
        <v>3157</v>
      </c>
      <c r="G227" t="str">
        <f>"27.01.1999"</f>
        <v>27.01.1999</v>
      </c>
      <c r="H227" t="s">
        <v>1225</v>
      </c>
      <c r="I227" t="s">
        <v>3158</v>
      </c>
      <c r="J227" t="s">
        <v>3159</v>
      </c>
      <c r="K227" t="s">
        <v>19</v>
      </c>
    </row>
    <row r="228" spans="1:11" x14ac:dyDescent="0.2">
      <c r="A228" t="s">
        <v>3160</v>
      </c>
      <c r="B228">
        <v>5591395438</v>
      </c>
      <c r="C228" t="s">
        <v>3161</v>
      </c>
      <c r="D228" t="str">
        <f>"11156"</f>
        <v>11156</v>
      </c>
      <c r="E228" t="s">
        <v>1883</v>
      </c>
      <c r="F228" t="s">
        <v>3162</v>
      </c>
      <c r="G228" t="str">
        <f>"14.12.2017"</f>
        <v>14.12.2017</v>
      </c>
      <c r="H228" t="s">
        <v>3163</v>
      </c>
      <c r="I228" t="s">
        <v>3164</v>
      </c>
      <c r="J228" t="s">
        <v>3165</v>
      </c>
      <c r="K228" t="s">
        <v>2026</v>
      </c>
    </row>
    <row r="229" spans="1:11" x14ac:dyDescent="0.2">
      <c r="A229" t="s">
        <v>3166</v>
      </c>
      <c r="B229">
        <v>5566139654</v>
      </c>
      <c r="C229" t="s">
        <v>3167</v>
      </c>
      <c r="D229" t="str">
        <f>"18217"</f>
        <v>18217</v>
      </c>
      <c r="E229" t="s">
        <v>2103</v>
      </c>
      <c r="F229" t="s">
        <v>3168</v>
      </c>
      <c r="G229" t="str">
        <f>"09.08.2001"</f>
        <v>09.08.2001</v>
      </c>
      <c r="H229" t="s">
        <v>3169</v>
      </c>
      <c r="I229" t="s">
        <v>3170</v>
      </c>
      <c r="J229" t="s">
        <v>3171</v>
      </c>
      <c r="K229" t="s">
        <v>1894</v>
      </c>
    </row>
    <row r="230" spans="1:11" x14ac:dyDescent="0.2">
      <c r="A230" t="s">
        <v>3172</v>
      </c>
      <c r="B230">
        <v>5590458948</v>
      </c>
      <c r="C230" t="s">
        <v>3173</v>
      </c>
      <c r="D230" t="str">
        <f>"17441"</f>
        <v>17441</v>
      </c>
      <c r="E230" t="s">
        <v>2144</v>
      </c>
      <c r="F230" t="s">
        <v>3174</v>
      </c>
      <c r="G230" t="str">
        <f>"05.01.2016"</f>
        <v>05.01.2016</v>
      </c>
      <c r="H230" t="s">
        <v>3175</v>
      </c>
      <c r="I230" t="s">
        <v>3176</v>
      </c>
      <c r="J230" t="s">
        <v>3177</v>
      </c>
      <c r="K230" t="s">
        <v>19</v>
      </c>
    </row>
    <row r="231" spans="1:11" x14ac:dyDescent="0.2">
      <c r="A231" t="s">
        <v>3178</v>
      </c>
      <c r="B231">
        <v>5569860850</v>
      </c>
      <c r="C231" t="s">
        <v>3179</v>
      </c>
      <c r="D231" t="str">
        <f>"11359"</f>
        <v>11359</v>
      </c>
      <c r="E231" t="s">
        <v>1883</v>
      </c>
      <c r="F231" t="s">
        <v>3180</v>
      </c>
      <c r="G231" t="str">
        <f>"13.10.2014"</f>
        <v>13.10.2014</v>
      </c>
      <c r="H231" t="s">
        <v>3181</v>
      </c>
      <c r="I231" t="s">
        <v>3182</v>
      </c>
      <c r="J231" t="s">
        <v>3183</v>
      </c>
      <c r="K231" t="s">
        <v>1894</v>
      </c>
    </row>
    <row r="232" spans="1:11" x14ac:dyDescent="0.2">
      <c r="A232" t="s">
        <v>3184</v>
      </c>
      <c r="B232">
        <v>5566530159</v>
      </c>
      <c r="C232" t="s">
        <v>3185</v>
      </c>
      <c r="D232" t="str">
        <f>"90326"</f>
        <v>90326</v>
      </c>
      <c r="E232" t="s">
        <v>2397</v>
      </c>
      <c r="F232" t="s">
        <v>3186</v>
      </c>
      <c r="G232" t="str">
        <f>"18.12.2003"</f>
        <v>18.12.2003</v>
      </c>
      <c r="H232" t="s">
        <v>3187</v>
      </c>
      <c r="I232" t="s">
        <v>3188</v>
      </c>
      <c r="J232" t="s">
        <v>3189</v>
      </c>
      <c r="K232" t="s">
        <v>1894</v>
      </c>
    </row>
    <row r="233" spans="1:11" x14ac:dyDescent="0.2">
      <c r="A233" t="s">
        <v>3190</v>
      </c>
      <c r="B233">
        <v>5590013420</v>
      </c>
      <c r="C233" t="s">
        <v>3191</v>
      </c>
      <c r="D233" t="str">
        <f>"55318"</f>
        <v>55318</v>
      </c>
      <c r="E233" t="s">
        <v>2054</v>
      </c>
      <c r="F233" t="s">
        <v>3192</v>
      </c>
      <c r="G233" t="str">
        <f>"23.01.2015"</f>
        <v>23.01.2015</v>
      </c>
      <c r="H233" t="s">
        <v>3193</v>
      </c>
      <c r="I233" t="s">
        <v>3194</v>
      </c>
      <c r="J233" t="s">
        <v>3195</v>
      </c>
      <c r="K233" t="s">
        <v>1894</v>
      </c>
    </row>
    <row r="234" spans="1:11" x14ac:dyDescent="0.2">
      <c r="A234" t="s">
        <v>3196</v>
      </c>
      <c r="B234">
        <v>5590794151</v>
      </c>
      <c r="C234" t="s">
        <v>3197</v>
      </c>
      <c r="D234" t="str">
        <f>"45152"</f>
        <v>45152</v>
      </c>
      <c r="E234" t="s">
        <v>3198</v>
      </c>
      <c r="F234" t="s">
        <v>3199</v>
      </c>
      <c r="G234" t="str">
        <f>"07.10.2016"</f>
        <v>07.10.2016</v>
      </c>
      <c r="H234" t="s">
        <v>315</v>
      </c>
      <c r="I234" t="s">
        <v>3200</v>
      </c>
      <c r="J234" t="s">
        <v>3201</v>
      </c>
      <c r="K234" t="s">
        <v>2123</v>
      </c>
    </row>
    <row r="235" spans="1:11" x14ac:dyDescent="0.2">
      <c r="A235" t="s">
        <v>3202</v>
      </c>
      <c r="B235">
        <v>5590498993</v>
      </c>
      <c r="C235" t="s">
        <v>3203</v>
      </c>
      <c r="D235" t="str">
        <f>"11161"</f>
        <v>11161</v>
      </c>
      <c r="E235" t="s">
        <v>1883</v>
      </c>
      <c r="F235" t="s">
        <v>3204</v>
      </c>
      <c r="G235" t="str">
        <f>"03.02.2016"</f>
        <v>03.02.2016</v>
      </c>
      <c r="H235" t="s">
        <v>3205</v>
      </c>
      <c r="I235" t="s">
        <v>3206</v>
      </c>
      <c r="J235" t="s">
        <v>3207</v>
      </c>
      <c r="K235" t="s">
        <v>1894</v>
      </c>
    </row>
    <row r="236" spans="1:11" x14ac:dyDescent="0.2">
      <c r="A236" t="s">
        <v>3208</v>
      </c>
      <c r="B236">
        <v>5566412507</v>
      </c>
      <c r="C236" t="s">
        <v>3209</v>
      </c>
      <c r="D236" t="str">
        <f>"11134"</f>
        <v>11134</v>
      </c>
      <c r="E236" t="s">
        <v>1883</v>
      </c>
      <c r="F236" t="s">
        <v>3210</v>
      </c>
      <c r="G236" t="str">
        <f>"05.03.2003"</f>
        <v>05.03.2003</v>
      </c>
      <c r="H236" t="s">
        <v>3211</v>
      </c>
      <c r="I236" t="s">
        <v>3212</v>
      </c>
      <c r="J236" t="s">
        <v>3213</v>
      </c>
      <c r="K236" t="s">
        <v>1894</v>
      </c>
    </row>
    <row r="237" spans="1:11" x14ac:dyDescent="0.2">
      <c r="A237" t="s">
        <v>3214</v>
      </c>
      <c r="B237">
        <v>5592671043</v>
      </c>
      <c r="C237" t="s">
        <v>3215</v>
      </c>
      <c r="D237" t="str">
        <f>"11354"</f>
        <v>11354</v>
      </c>
      <c r="E237" t="s">
        <v>1883</v>
      </c>
      <c r="F237" t="s">
        <v>3216</v>
      </c>
      <c r="G237" t="str">
        <f>"14.08.2020"</f>
        <v>14.08.2020</v>
      </c>
      <c r="H237" t="s">
        <v>2533</v>
      </c>
      <c r="I237" t="s">
        <v>3217</v>
      </c>
      <c r="J237" t="s">
        <v>3218</v>
      </c>
      <c r="K237" t="s">
        <v>1894</v>
      </c>
    </row>
    <row r="238" spans="1:11" x14ac:dyDescent="0.2">
      <c r="A238" t="s">
        <v>3219</v>
      </c>
      <c r="B238">
        <v>5590372164</v>
      </c>
      <c r="C238" t="s">
        <v>3220</v>
      </c>
      <c r="D238" t="str">
        <f>"70361"</f>
        <v>70361</v>
      </c>
      <c r="E238" t="s">
        <v>2186</v>
      </c>
      <c r="F238" t="s">
        <v>3221</v>
      </c>
      <c r="G238" t="str">
        <f>"25.11.2015"</f>
        <v>25.11.2015</v>
      </c>
      <c r="H238" t="s">
        <v>1936</v>
      </c>
      <c r="I238" t="s">
        <v>3222</v>
      </c>
      <c r="J238" t="s">
        <v>3223</v>
      </c>
      <c r="K238" t="s">
        <v>1894</v>
      </c>
    </row>
    <row r="239" spans="1:11" x14ac:dyDescent="0.2">
      <c r="A239" t="s">
        <v>3224</v>
      </c>
      <c r="B239">
        <v>5566627914</v>
      </c>
      <c r="C239" t="s">
        <v>3225</v>
      </c>
      <c r="D239" t="str">
        <f>"11426"</f>
        <v>11426</v>
      </c>
      <c r="E239" t="s">
        <v>1883</v>
      </c>
      <c r="F239" t="s">
        <v>3226</v>
      </c>
      <c r="G239" t="str">
        <f>"03.06.2004"</f>
        <v>03.06.2004</v>
      </c>
      <c r="H239" t="s">
        <v>3227</v>
      </c>
      <c r="I239" t="s">
        <v>3228</v>
      </c>
      <c r="J239" t="s">
        <v>3229</v>
      </c>
      <c r="K239" t="s">
        <v>19</v>
      </c>
    </row>
    <row r="240" spans="1:11" x14ac:dyDescent="0.2">
      <c r="A240" t="s">
        <v>3230</v>
      </c>
      <c r="B240">
        <v>5568719743</v>
      </c>
      <c r="C240" t="s">
        <v>3231</v>
      </c>
      <c r="D240" t="str">
        <f>"46130"</f>
        <v>46130</v>
      </c>
      <c r="E240" t="s">
        <v>3232</v>
      </c>
      <c r="F240" t="s">
        <v>3233</v>
      </c>
      <c r="G240" t="str">
        <f>"16.11.2011"</f>
        <v>16.11.2011</v>
      </c>
      <c r="H240" t="s">
        <v>3234</v>
      </c>
      <c r="I240" t="s">
        <v>3235</v>
      </c>
      <c r="J240" t="s">
        <v>3236</v>
      </c>
      <c r="K240" t="s">
        <v>3237</v>
      </c>
    </row>
    <row r="241" spans="1:11" x14ac:dyDescent="0.2">
      <c r="A241" t="s">
        <v>3238</v>
      </c>
      <c r="B241">
        <v>5567221626</v>
      </c>
      <c r="C241" t="s">
        <v>3179</v>
      </c>
      <c r="D241" t="str">
        <f>"11359"</f>
        <v>11359</v>
      </c>
      <c r="E241" t="s">
        <v>1883</v>
      </c>
      <c r="F241" t="s">
        <v>3239</v>
      </c>
      <c r="G241" t="str">
        <f>"29.01.2007"</f>
        <v>29.01.2007</v>
      </c>
      <c r="H241" t="s">
        <v>3240</v>
      </c>
      <c r="I241" t="s">
        <v>3241</v>
      </c>
      <c r="J241" t="s">
        <v>3242</v>
      </c>
      <c r="K241" t="s">
        <v>1894</v>
      </c>
    </row>
    <row r="242" spans="1:11" x14ac:dyDescent="0.2">
      <c r="A242" t="s">
        <v>3243</v>
      </c>
      <c r="B242">
        <v>5566286919</v>
      </c>
      <c r="C242" t="s">
        <v>3244</v>
      </c>
      <c r="D242" t="str">
        <f>"58335"</f>
        <v>58335</v>
      </c>
      <c r="E242" t="s">
        <v>2828</v>
      </c>
      <c r="F242" t="s">
        <v>3245</v>
      </c>
      <c r="G242" t="str">
        <f>"19.06.2002"</f>
        <v>19.06.2002</v>
      </c>
      <c r="H242" t="s">
        <v>3246</v>
      </c>
      <c r="I242" t="s">
        <v>3247</v>
      </c>
      <c r="J242" t="s">
        <v>3248</v>
      </c>
    </row>
    <row r="243" spans="1:11" x14ac:dyDescent="0.2">
      <c r="A243" t="s">
        <v>3249</v>
      </c>
      <c r="B243">
        <v>5569402323</v>
      </c>
      <c r="C243" t="s">
        <v>3250</v>
      </c>
      <c r="D243" t="str">
        <f>"10425"</f>
        <v>10425</v>
      </c>
      <c r="E243" t="s">
        <v>1883</v>
      </c>
      <c r="F243" t="s">
        <v>3251</v>
      </c>
      <c r="G243" t="str">
        <f>"26.08.2013"</f>
        <v>26.08.2013</v>
      </c>
      <c r="H243" t="s">
        <v>3252</v>
      </c>
      <c r="I243" t="s">
        <v>3253</v>
      </c>
      <c r="J243" t="s">
        <v>3254</v>
      </c>
      <c r="K243" t="s">
        <v>603</v>
      </c>
    </row>
    <row r="244" spans="1:11" x14ac:dyDescent="0.2">
      <c r="A244" t="s">
        <v>3255</v>
      </c>
      <c r="B244">
        <v>5565818399</v>
      </c>
      <c r="C244" t="s">
        <v>3256</v>
      </c>
      <c r="D244" t="str">
        <f>"70361"</f>
        <v>70361</v>
      </c>
      <c r="E244" t="s">
        <v>2186</v>
      </c>
      <c r="F244" t="s">
        <v>3257</v>
      </c>
      <c r="G244" t="str">
        <f>"19.01.2000"</f>
        <v>19.01.2000</v>
      </c>
      <c r="H244" t="s">
        <v>3258</v>
      </c>
      <c r="I244" t="s">
        <v>3259</v>
      </c>
      <c r="J244" t="s">
        <v>3260</v>
      </c>
      <c r="K244" t="s">
        <v>3261</v>
      </c>
    </row>
    <row r="245" spans="1:11" x14ac:dyDescent="0.2">
      <c r="A245" t="s">
        <v>3262</v>
      </c>
      <c r="B245">
        <v>5591611834</v>
      </c>
      <c r="C245" t="s">
        <v>3263</v>
      </c>
      <c r="D245" t="str">
        <f>"85230"</f>
        <v>85230</v>
      </c>
      <c r="E245" t="s">
        <v>2519</v>
      </c>
      <c r="F245" t="s">
        <v>3264</v>
      </c>
      <c r="G245" t="str">
        <f>"01.06.2018"</f>
        <v>01.06.2018</v>
      </c>
      <c r="H245" t="s">
        <v>3265</v>
      </c>
      <c r="I245" t="s">
        <v>3266</v>
      </c>
      <c r="J245" t="s">
        <v>3267</v>
      </c>
      <c r="K245" t="s">
        <v>1894</v>
      </c>
    </row>
    <row r="246" spans="1:11" x14ac:dyDescent="0.2">
      <c r="A246" t="s">
        <v>3268</v>
      </c>
      <c r="B246">
        <v>5591207302</v>
      </c>
      <c r="C246" t="s">
        <v>3269</v>
      </c>
      <c r="D246" t="str">
        <f>"82435"</f>
        <v>82435</v>
      </c>
      <c r="E246" t="s">
        <v>3270</v>
      </c>
      <c r="F246" t="s">
        <v>3271</v>
      </c>
      <c r="G246" t="str">
        <f>"01.08.2017"</f>
        <v>01.08.2017</v>
      </c>
      <c r="H246" t="s">
        <v>3272</v>
      </c>
      <c r="I246" t="s">
        <v>3273</v>
      </c>
      <c r="J246" t="s">
        <v>3274</v>
      </c>
      <c r="K246" t="s">
        <v>1894</v>
      </c>
    </row>
    <row r="247" spans="1:11" x14ac:dyDescent="0.2">
      <c r="A247" t="s">
        <v>3275</v>
      </c>
      <c r="B247">
        <v>5567870208</v>
      </c>
      <c r="C247" t="s">
        <v>3276</v>
      </c>
      <c r="D247" t="str">
        <f>"12031"</f>
        <v>12031</v>
      </c>
      <c r="E247" t="s">
        <v>1883</v>
      </c>
      <c r="F247" t="s">
        <v>3277</v>
      </c>
      <c r="G247" t="str">
        <f>"13.08.2009"</f>
        <v>13.08.2009</v>
      </c>
      <c r="H247" t="s">
        <v>3278</v>
      </c>
      <c r="I247" t="s">
        <v>3279</v>
      </c>
      <c r="J247" t="s">
        <v>3280</v>
      </c>
      <c r="K247" t="s">
        <v>1894</v>
      </c>
    </row>
    <row r="248" spans="1:11" x14ac:dyDescent="0.2">
      <c r="A248" t="s">
        <v>3281</v>
      </c>
      <c r="B248">
        <v>5569422685</v>
      </c>
      <c r="C248" t="s">
        <v>3282</v>
      </c>
      <c r="D248" t="str">
        <f>"21119"</f>
        <v>21119</v>
      </c>
      <c r="E248" t="s">
        <v>1941</v>
      </c>
      <c r="F248" t="s">
        <v>3283</v>
      </c>
      <c r="G248" t="str">
        <f>"12.09.2013"</f>
        <v>12.09.2013</v>
      </c>
      <c r="H248" t="s">
        <v>3284</v>
      </c>
      <c r="I248" t="s">
        <v>3285</v>
      </c>
      <c r="J248" t="s">
        <v>3286</v>
      </c>
      <c r="K248" t="s">
        <v>19</v>
      </c>
    </row>
    <row r="249" spans="1:11" x14ac:dyDescent="0.2">
      <c r="A249" t="s">
        <v>3287</v>
      </c>
      <c r="B249">
        <v>5564821295</v>
      </c>
      <c r="C249" t="s">
        <v>3288</v>
      </c>
      <c r="D249" t="str">
        <f>"41250"</f>
        <v>41250</v>
      </c>
      <c r="E249" t="s">
        <v>1890</v>
      </c>
      <c r="F249" t="s">
        <v>3289</v>
      </c>
      <c r="G249" t="str">
        <f>"10.02.1994"</f>
        <v>10.02.1994</v>
      </c>
      <c r="H249" t="s">
        <v>3290</v>
      </c>
      <c r="I249" t="s">
        <v>3291</v>
      </c>
      <c r="J249" t="s">
        <v>3292</v>
      </c>
      <c r="K249" t="s">
        <v>1894</v>
      </c>
    </row>
    <row r="250" spans="1:11" x14ac:dyDescent="0.2">
      <c r="A250" t="s">
        <v>3293</v>
      </c>
      <c r="B250">
        <v>5569956914</v>
      </c>
      <c r="C250" t="s">
        <v>3288</v>
      </c>
      <c r="D250" t="str">
        <f>"41250"</f>
        <v>41250</v>
      </c>
      <c r="E250" t="s">
        <v>1890</v>
      </c>
      <c r="F250" t="s">
        <v>3294</v>
      </c>
      <c r="G250" t="str">
        <f>"12.12.2014"</f>
        <v>12.12.2014</v>
      </c>
      <c r="H250" t="s">
        <v>3290</v>
      </c>
      <c r="I250" t="s">
        <v>3295</v>
      </c>
      <c r="J250" t="s">
        <v>3296</v>
      </c>
      <c r="K250" t="s">
        <v>1894</v>
      </c>
    </row>
    <row r="251" spans="1:11" x14ac:dyDescent="0.2">
      <c r="A251" t="s">
        <v>3297</v>
      </c>
      <c r="B251">
        <v>5564169828</v>
      </c>
      <c r="C251" t="s">
        <v>3298</v>
      </c>
      <c r="D251" t="str">
        <f>"11358"</f>
        <v>11358</v>
      </c>
      <c r="E251" t="s">
        <v>1883</v>
      </c>
      <c r="F251" t="s">
        <v>3299</v>
      </c>
      <c r="G251" t="str">
        <f>"08.02.1991"</f>
        <v>08.02.1991</v>
      </c>
      <c r="H251" t="s">
        <v>3300</v>
      </c>
      <c r="I251" t="s">
        <v>3301</v>
      </c>
      <c r="J251" t="s">
        <v>3302</v>
      </c>
      <c r="K251" t="s">
        <v>1894</v>
      </c>
    </row>
    <row r="252" spans="1:11" x14ac:dyDescent="0.2">
      <c r="A252" t="s">
        <v>3303</v>
      </c>
      <c r="B252">
        <v>5591970545</v>
      </c>
      <c r="C252" t="s">
        <v>3304</v>
      </c>
      <c r="D252" t="str">
        <f>"11221"</f>
        <v>11221</v>
      </c>
      <c r="E252" t="s">
        <v>1883</v>
      </c>
      <c r="F252" t="s">
        <v>3305</v>
      </c>
      <c r="G252" t="str">
        <f>"01.03.2019"</f>
        <v>01.03.2019</v>
      </c>
      <c r="H252" t="s">
        <v>3306</v>
      </c>
      <c r="I252" t="s">
        <v>3307</v>
      </c>
      <c r="J252" t="s">
        <v>3308</v>
      </c>
      <c r="K252" t="s">
        <v>1894</v>
      </c>
    </row>
    <row r="253" spans="1:11" x14ac:dyDescent="0.2">
      <c r="A253" t="s">
        <v>3309</v>
      </c>
      <c r="B253">
        <v>5569180721</v>
      </c>
      <c r="C253" t="s">
        <v>3310</v>
      </c>
      <c r="D253" t="str">
        <f>"18278"</f>
        <v>18278</v>
      </c>
      <c r="E253" t="s">
        <v>3311</v>
      </c>
      <c r="F253" t="s">
        <v>3312</v>
      </c>
      <c r="G253" t="str">
        <f>"04.01.2013"</f>
        <v>04.01.2013</v>
      </c>
      <c r="H253" t="s">
        <v>3313</v>
      </c>
      <c r="I253" t="s">
        <v>3314</v>
      </c>
      <c r="J253" t="s">
        <v>3315</v>
      </c>
      <c r="K253" t="s">
        <v>1894</v>
      </c>
    </row>
    <row r="254" spans="1:11" x14ac:dyDescent="0.2">
      <c r="A254" t="s">
        <v>3316</v>
      </c>
      <c r="B254">
        <v>5591022875</v>
      </c>
      <c r="C254" t="s">
        <v>3317</v>
      </c>
      <c r="D254" t="str">
        <f>"11121"</f>
        <v>11121</v>
      </c>
      <c r="E254" t="s">
        <v>1883</v>
      </c>
      <c r="F254" t="s">
        <v>3318</v>
      </c>
      <c r="G254" t="str">
        <f>"27.02.2017"</f>
        <v>27.02.2017</v>
      </c>
      <c r="H254" t="s">
        <v>3319</v>
      </c>
      <c r="I254" t="s">
        <v>3320</v>
      </c>
      <c r="J254" t="s">
        <v>3321</v>
      </c>
      <c r="K254" t="s">
        <v>1894</v>
      </c>
    </row>
    <row r="255" spans="1:11" x14ac:dyDescent="0.2">
      <c r="A255" t="s">
        <v>3322</v>
      </c>
      <c r="B255">
        <v>5567343594</v>
      </c>
      <c r="C255" t="s">
        <v>3323</v>
      </c>
      <c r="D255" t="str">
        <f>"45598"</f>
        <v>45598</v>
      </c>
      <c r="E255" t="s">
        <v>3324</v>
      </c>
      <c r="F255" t="s">
        <v>3325</v>
      </c>
      <c r="G255" t="str">
        <f>"05.07.2007"</f>
        <v>05.07.2007</v>
      </c>
      <c r="H255" t="s">
        <v>3326</v>
      </c>
      <c r="I255" t="s">
        <v>3327</v>
      </c>
      <c r="J255" t="s">
        <v>3328</v>
      </c>
      <c r="K255" t="s">
        <v>1894</v>
      </c>
    </row>
    <row r="256" spans="1:11" x14ac:dyDescent="0.2">
      <c r="A256" t="s">
        <v>3329</v>
      </c>
      <c r="B256">
        <v>5591282834</v>
      </c>
      <c r="C256" t="s">
        <v>3330</v>
      </c>
      <c r="D256" t="str">
        <f>"11446"</f>
        <v>11446</v>
      </c>
      <c r="E256" t="s">
        <v>1883</v>
      </c>
      <c r="F256" t="s">
        <v>3331</v>
      </c>
      <c r="G256" t="str">
        <f>"06.10.2017"</f>
        <v>06.10.2017</v>
      </c>
      <c r="H256" t="s">
        <v>3332</v>
      </c>
      <c r="I256" t="s">
        <v>3333</v>
      </c>
      <c r="J256" t="s">
        <v>3334</v>
      </c>
      <c r="K256" t="s">
        <v>1894</v>
      </c>
    </row>
    <row r="257" spans="1:11" x14ac:dyDescent="0.2">
      <c r="A257" t="s">
        <v>3335</v>
      </c>
      <c r="B257">
        <v>5590790100</v>
      </c>
      <c r="C257" t="s">
        <v>3089</v>
      </c>
      <c r="D257" t="str">
        <f>"10123"</f>
        <v>10123</v>
      </c>
      <c r="E257" t="s">
        <v>1883</v>
      </c>
      <c r="F257" t="s">
        <v>3336</v>
      </c>
      <c r="G257" t="str">
        <f>"05.10.2016"</f>
        <v>05.10.2016</v>
      </c>
      <c r="H257" t="s">
        <v>3337</v>
      </c>
      <c r="I257" t="s">
        <v>3338</v>
      </c>
      <c r="J257" t="s">
        <v>3339</v>
      </c>
      <c r="K257" t="s">
        <v>1894</v>
      </c>
    </row>
    <row r="258" spans="1:11" x14ac:dyDescent="0.2">
      <c r="A258" t="s">
        <v>3340</v>
      </c>
      <c r="B258">
        <v>5569091308</v>
      </c>
      <c r="C258" t="s">
        <v>3341</v>
      </c>
      <c r="D258" t="str">
        <f>"11830"</f>
        <v>11830</v>
      </c>
      <c r="E258" t="s">
        <v>1883</v>
      </c>
      <c r="F258" t="s">
        <v>3342</v>
      </c>
      <c r="G258" t="str">
        <f>"04.11.2012"</f>
        <v>04.11.2012</v>
      </c>
      <c r="H258" t="s">
        <v>3343</v>
      </c>
      <c r="I258" t="s">
        <v>3344</v>
      </c>
      <c r="J258" t="s">
        <v>3345</v>
      </c>
      <c r="K258" t="s">
        <v>1894</v>
      </c>
    </row>
    <row r="259" spans="1:11" x14ac:dyDescent="0.2">
      <c r="A259" t="s">
        <v>3346</v>
      </c>
      <c r="B259">
        <v>5569945693</v>
      </c>
      <c r="C259" t="s">
        <v>3347</v>
      </c>
      <c r="D259" t="str">
        <f>"11123"</f>
        <v>11123</v>
      </c>
      <c r="E259" t="s">
        <v>1883</v>
      </c>
      <c r="F259" t="s">
        <v>3348</v>
      </c>
      <c r="G259" t="str">
        <f>"09.12.2014"</f>
        <v>09.12.2014</v>
      </c>
      <c r="H259" t="s">
        <v>3349</v>
      </c>
      <c r="I259" t="s">
        <v>3350</v>
      </c>
      <c r="J259" t="s">
        <v>3351</v>
      </c>
      <c r="K259" t="s">
        <v>2002</v>
      </c>
    </row>
    <row r="260" spans="1:11" x14ac:dyDescent="0.2">
      <c r="A260" t="s">
        <v>3352</v>
      </c>
      <c r="B260">
        <v>5591385553</v>
      </c>
      <c r="C260" t="s">
        <v>3353</v>
      </c>
      <c r="D260" t="str">
        <f>"22362"</f>
        <v>22362</v>
      </c>
      <c r="E260" t="s">
        <v>2279</v>
      </c>
      <c r="F260" t="s">
        <v>3354</v>
      </c>
      <c r="G260" t="str">
        <f>"11.12.2017"</f>
        <v>11.12.2017</v>
      </c>
      <c r="H260" t="s">
        <v>3355</v>
      </c>
      <c r="I260" t="s">
        <v>3356</v>
      </c>
      <c r="J260" t="s">
        <v>3357</v>
      </c>
      <c r="K260" t="s">
        <v>1894</v>
      </c>
    </row>
    <row r="261" spans="1:11" x14ac:dyDescent="0.2">
      <c r="A261" t="s">
        <v>3358</v>
      </c>
      <c r="B261">
        <v>5590187505</v>
      </c>
      <c r="C261" t="s">
        <v>3359</v>
      </c>
      <c r="D261" t="str">
        <f>"11339"</f>
        <v>11339</v>
      </c>
      <c r="E261" t="s">
        <v>1883</v>
      </c>
      <c r="F261" t="s">
        <v>3360</v>
      </c>
      <c r="G261" t="str">
        <f>"01.07.2015"</f>
        <v>01.07.2015</v>
      </c>
      <c r="H261" t="s">
        <v>3361</v>
      </c>
      <c r="I261" t="s">
        <v>3362</v>
      </c>
      <c r="J261" t="s">
        <v>3363</v>
      </c>
      <c r="K261" t="s">
        <v>1894</v>
      </c>
    </row>
    <row r="262" spans="1:11" x14ac:dyDescent="0.2">
      <c r="A262" t="s">
        <v>3364</v>
      </c>
      <c r="B262">
        <v>5566314497</v>
      </c>
      <c r="C262" t="s">
        <v>3365</v>
      </c>
      <c r="D262" t="str">
        <f>"16451"</f>
        <v>16451</v>
      </c>
      <c r="E262" t="s">
        <v>2105</v>
      </c>
      <c r="F262" t="s">
        <v>3366</v>
      </c>
      <c r="G262" t="str">
        <f>"13.08.2002"</f>
        <v>13.08.2002</v>
      </c>
      <c r="H262" t="s">
        <v>3367</v>
      </c>
      <c r="I262" t="s">
        <v>3368</v>
      </c>
      <c r="J262" t="s">
        <v>3369</v>
      </c>
      <c r="K262" t="s">
        <v>435</v>
      </c>
    </row>
    <row r="263" spans="1:11" x14ac:dyDescent="0.2">
      <c r="A263" t="s">
        <v>3370</v>
      </c>
      <c r="B263">
        <v>5591005128</v>
      </c>
      <c r="C263" t="s">
        <v>3371</v>
      </c>
      <c r="D263" t="str">
        <f>"11664"</f>
        <v>11664</v>
      </c>
      <c r="E263" t="s">
        <v>1883</v>
      </c>
      <c r="F263" t="s">
        <v>3372</v>
      </c>
      <c r="G263" t="str">
        <f>"14.02.2017"</f>
        <v>14.02.2017</v>
      </c>
      <c r="H263" t="s">
        <v>3373</v>
      </c>
      <c r="I263" t="s">
        <v>3374</v>
      </c>
      <c r="J263" t="s">
        <v>3375</v>
      </c>
      <c r="K263" t="s">
        <v>1894</v>
      </c>
    </row>
    <row r="264" spans="1:11" x14ac:dyDescent="0.2">
      <c r="A264" t="s">
        <v>3376</v>
      </c>
      <c r="B264">
        <v>5568038201</v>
      </c>
      <c r="C264" t="s">
        <v>3179</v>
      </c>
      <c r="D264" t="str">
        <f>"11359"</f>
        <v>11359</v>
      </c>
      <c r="E264" t="s">
        <v>1883</v>
      </c>
      <c r="F264" t="s">
        <v>3377</v>
      </c>
      <c r="G264" t="str">
        <f>"06.04.2010"</f>
        <v>06.04.2010</v>
      </c>
      <c r="H264" t="s">
        <v>3378</v>
      </c>
      <c r="I264" t="s">
        <v>3379</v>
      </c>
      <c r="J264" t="s">
        <v>3380</v>
      </c>
      <c r="K264" t="s">
        <v>2026</v>
      </c>
    </row>
    <row r="265" spans="1:11" x14ac:dyDescent="0.2">
      <c r="A265" t="s">
        <v>3381</v>
      </c>
      <c r="B265">
        <v>5591789978</v>
      </c>
      <c r="C265" t="s">
        <v>3382</v>
      </c>
      <c r="D265" t="str">
        <f>"23533"</f>
        <v>23533</v>
      </c>
      <c r="E265" t="s">
        <v>3383</v>
      </c>
      <c r="F265" t="s">
        <v>3384</v>
      </c>
      <c r="G265" t="str">
        <f>"08.11.2018"</f>
        <v>08.11.2018</v>
      </c>
      <c r="H265" t="s">
        <v>3385</v>
      </c>
      <c r="I265" t="s">
        <v>3386</v>
      </c>
      <c r="J265" t="s">
        <v>3387</v>
      </c>
      <c r="K265" t="s">
        <v>19</v>
      </c>
    </row>
    <row r="266" spans="1:11" x14ac:dyDescent="0.2">
      <c r="A266" t="s">
        <v>3388</v>
      </c>
      <c r="B266">
        <v>5565889218</v>
      </c>
      <c r="C266" t="s">
        <v>3389</v>
      </c>
      <c r="D266" t="str">
        <f>"21741"</f>
        <v>21741</v>
      </c>
      <c r="E266" t="s">
        <v>1941</v>
      </c>
      <c r="F266" t="s">
        <v>3390</v>
      </c>
      <c r="G266" t="str">
        <f>"05.04.2000"</f>
        <v>05.04.2000</v>
      </c>
      <c r="H266" t="s">
        <v>3391</v>
      </c>
      <c r="I266" t="s">
        <v>3392</v>
      </c>
      <c r="J266" t="s">
        <v>3393</v>
      </c>
      <c r="K266" t="s">
        <v>19</v>
      </c>
    </row>
    <row r="267" spans="1:11" x14ac:dyDescent="0.2">
      <c r="A267" t="s">
        <v>3394</v>
      </c>
      <c r="B267">
        <v>5590480512</v>
      </c>
      <c r="C267" t="s">
        <v>3395</v>
      </c>
      <c r="D267" t="str">
        <f>"11357"</f>
        <v>11357</v>
      </c>
      <c r="E267" t="s">
        <v>1883</v>
      </c>
      <c r="F267" t="s">
        <v>3396</v>
      </c>
      <c r="G267" t="str">
        <f>"21.01.2016"</f>
        <v>21.01.2016</v>
      </c>
      <c r="H267" t="s">
        <v>3397</v>
      </c>
      <c r="I267" t="s">
        <v>3398</v>
      </c>
      <c r="J267" t="s">
        <v>3399</v>
      </c>
      <c r="K267" t="s">
        <v>1894</v>
      </c>
    </row>
    <row r="268" spans="1:11" x14ac:dyDescent="0.2">
      <c r="A268" t="s">
        <v>3400</v>
      </c>
      <c r="B268">
        <v>5592657133</v>
      </c>
      <c r="C268" t="s">
        <v>3401</v>
      </c>
      <c r="D268" t="str">
        <f>"12024"</f>
        <v>12024</v>
      </c>
      <c r="E268" t="s">
        <v>1883</v>
      </c>
      <c r="F268" t="s">
        <v>3402</v>
      </c>
      <c r="G268" t="str">
        <f>"04.08.2020"</f>
        <v>04.08.2020</v>
      </c>
      <c r="H268" t="s">
        <v>3403</v>
      </c>
      <c r="I268" t="s">
        <v>3404</v>
      </c>
      <c r="J268" t="s">
        <v>3405</v>
      </c>
      <c r="K268" t="s">
        <v>1894</v>
      </c>
    </row>
    <row r="269" spans="1:11" x14ac:dyDescent="0.2">
      <c r="A269" t="s">
        <v>3406</v>
      </c>
      <c r="B269">
        <v>5568623101</v>
      </c>
      <c r="C269" t="s">
        <v>3407</v>
      </c>
      <c r="D269" t="str">
        <f>"41110"</f>
        <v>41110</v>
      </c>
      <c r="E269" t="s">
        <v>1890</v>
      </c>
      <c r="F269" t="s">
        <v>3408</v>
      </c>
      <c r="G269" t="str">
        <f>"24.08.2011"</f>
        <v>24.08.2011</v>
      </c>
      <c r="H269" t="s">
        <v>3409</v>
      </c>
      <c r="I269" t="s">
        <v>3410</v>
      </c>
      <c r="J269" t="s">
        <v>3411</v>
      </c>
      <c r="K269" t="s">
        <v>2002</v>
      </c>
    </row>
  </sheetData>
  <phoneticPr fontId="3" type="noConversion"/>
  <pageMargins left="0.7" right="0.7" top="0.75" bottom="0.75" header="0.3" footer="0.3"/>
  <pageSetup paperSize="9" orientation="portrait" horizontalDpi="0" verticalDpi="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workbookViewId="0">
      <selection activeCell="J28" sqref="J28"/>
    </sheetView>
  </sheetViews>
  <sheetFormatPr baseColWidth="10" defaultRowHeight="16" x14ac:dyDescent="0.2"/>
  <cols>
    <col min="1" max="1" width="31" customWidth="1"/>
    <col min="6" max="6" width="22.33203125" customWidth="1"/>
    <col min="8" max="8" width="115.5" customWidth="1"/>
    <col min="10" max="10" width="76.83203125" customWidth="1"/>
    <col min="11" max="11" width="25.83203125" customWidth="1"/>
  </cols>
  <sheetData>
    <row r="1" s="4" customFormat="1" x14ac:dyDescent="0.2"/>
    <row r="2" s="4" customFormat="1" x14ac:dyDescent="0.2"/>
    <row r="3" s="4" customFormat="1" x14ac:dyDescent="0.2"/>
    <row r="4" s="4" customFormat="1" x14ac:dyDescent="0.2"/>
    <row r="5" s="4" customFormat="1" x14ac:dyDescent="0.2"/>
    <row r="6" s="4" customFormat="1" x14ac:dyDescent="0.2"/>
    <row r="7" s="4" customFormat="1" x14ac:dyDescent="0.2"/>
    <row r="8" s="4" customFormat="1" x14ac:dyDescent="0.2"/>
    <row r="9" s="4" customFormat="1" x14ac:dyDescent="0.2"/>
    <row r="10" s="4" customFormat="1" x14ac:dyDescent="0.2"/>
    <row r="11" s="4" customFormat="1" x14ac:dyDescent="0.2"/>
    <row r="12" s="4" customFormat="1" x14ac:dyDescent="0.2"/>
    <row r="13" s="4" customFormat="1" x14ac:dyDescent="0.2"/>
    <row r="14" s="4" customFormat="1" x14ac:dyDescent="0.2"/>
    <row r="15" s="4" customFormat="1" x14ac:dyDescent="0.2"/>
    <row r="16" s="4" customFormat="1" x14ac:dyDescent="0.2"/>
    <row r="17" spans="1:11" s="4" customFormat="1" x14ac:dyDescent="0.2"/>
    <row r="18" spans="1:11" s="4" customFormat="1" x14ac:dyDescent="0.2"/>
    <row r="19" spans="1:11" s="2" customFormat="1" x14ac:dyDescent="0.2">
      <c r="A19" s="2" t="s">
        <v>0</v>
      </c>
      <c r="B19" s="2" t="s">
        <v>1</v>
      </c>
      <c r="C19" s="2" t="s">
        <v>2</v>
      </c>
      <c r="D19" s="2" t="s">
        <v>3</v>
      </c>
      <c r="E19" s="2" t="s">
        <v>4</v>
      </c>
      <c r="F19" s="2" t="s">
        <v>5</v>
      </c>
      <c r="G19" s="2" t="s">
        <v>6</v>
      </c>
      <c r="H19" s="2" t="s">
        <v>7</v>
      </c>
      <c r="I19" s="2" t="s">
        <v>8</v>
      </c>
      <c r="J19" s="2" t="s">
        <v>9</v>
      </c>
      <c r="K19" s="2" t="s">
        <v>10</v>
      </c>
    </row>
    <row r="20" spans="1:11" x14ac:dyDescent="0.2">
      <c r="A20" t="s">
        <v>5182</v>
      </c>
      <c r="B20" t="s">
        <v>5183</v>
      </c>
      <c r="C20" t="s">
        <v>5184</v>
      </c>
      <c r="D20" t="str">
        <f>"0258"</f>
        <v>0258</v>
      </c>
      <c r="E20" t="s">
        <v>5185</v>
      </c>
      <c r="F20" t="s">
        <v>5187</v>
      </c>
      <c r="G20" t="str">
        <f>"05.08.2016"</f>
        <v>05.08.2016</v>
      </c>
      <c r="H20" t="s">
        <v>5188</v>
      </c>
      <c r="I20" t="s">
        <v>5189</v>
      </c>
      <c r="J20" t="s">
        <v>5190</v>
      </c>
      <c r="K20" t="s">
        <v>5191</v>
      </c>
    </row>
    <row r="21" spans="1:11" x14ac:dyDescent="0.2">
      <c r="A21" t="s">
        <v>5192</v>
      </c>
      <c r="B21" t="s">
        <v>5193</v>
      </c>
      <c r="C21" t="s">
        <v>5194</v>
      </c>
      <c r="D21" t="str">
        <f>"0159"</f>
        <v>0159</v>
      </c>
      <c r="E21" t="s">
        <v>5185</v>
      </c>
      <c r="F21" t="s">
        <v>5195</v>
      </c>
      <c r="G21" t="str">
        <f>"17.03.2005"</f>
        <v>17.03.2005</v>
      </c>
      <c r="H21" t="s">
        <v>5196</v>
      </c>
      <c r="I21" t="s">
        <v>5197</v>
      </c>
      <c r="J21" t="s">
        <v>5198</v>
      </c>
      <c r="K21" t="s">
        <v>5199</v>
      </c>
    </row>
    <row r="22" spans="1:11" x14ac:dyDescent="0.2">
      <c r="A22" t="s">
        <v>5200</v>
      </c>
      <c r="B22" t="s">
        <v>5201</v>
      </c>
      <c r="C22" t="s">
        <v>5202</v>
      </c>
      <c r="D22" t="str">
        <f>"0753"</f>
        <v>0753</v>
      </c>
      <c r="E22" t="s">
        <v>5185</v>
      </c>
      <c r="F22" t="s">
        <v>5203</v>
      </c>
      <c r="G22" t="str">
        <f>"29.11.2003"</f>
        <v>29.11.2003</v>
      </c>
      <c r="H22" t="s">
        <v>5204</v>
      </c>
      <c r="I22" t="s">
        <v>5205</v>
      </c>
      <c r="J22" t="s">
        <v>5206</v>
      </c>
      <c r="K22" t="s">
        <v>19</v>
      </c>
    </row>
    <row r="23" spans="1:11" x14ac:dyDescent="0.2">
      <c r="A23" t="s">
        <v>5207</v>
      </c>
      <c r="B23" t="s">
        <v>5208</v>
      </c>
      <c r="C23" t="s">
        <v>5209</v>
      </c>
      <c r="D23" t="str">
        <f>"3210"</f>
        <v>3210</v>
      </c>
      <c r="E23" t="s">
        <v>5210</v>
      </c>
      <c r="F23" t="s">
        <v>5211</v>
      </c>
      <c r="G23" t="str">
        <f>"23.02.1999"</f>
        <v>23.02.1999</v>
      </c>
      <c r="H23" t="s">
        <v>5212</v>
      </c>
      <c r="I23" t="s">
        <v>5213</v>
      </c>
      <c r="J23" t="s">
        <v>5214</v>
      </c>
      <c r="K23" t="s">
        <v>5215</v>
      </c>
    </row>
    <row r="24" spans="1:11" x14ac:dyDescent="0.2">
      <c r="A24" t="s">
        <v>5216</v>
      </c>
      <c r="B24" t="s">
        <v>5217</v>
      </c>
      <c r="C24" t="s">
        <v>5218</v>
      </c>
      <c r="D24" t="str">
        <f>"0484"</f>
        <v>0484</v>
      </c>
      <c r="E24" t="s">
        <v>5185</v>
      </c>
      <c r="F24" t="s">
        <v>5219</v>
      </c>
      <c r="G24" t="str">
        <f>"05.07.2006"</f>
        <v>05.07.2006</v>
      </c>
      <c r="H24" t="s">
        <v>5220</v>
      </c>
      <c r="I24" t="s">
        <v>5221</v>
      </c>
      <c r="J24" t="s">
        <v>5222</v>
      </c>
      <c r="K24" t="s">
        <v>5191</v>
      </c>
    </row>
    <row r="25" spans="1:11" x14ac:dyDescent="0.2">
      <c r="A25" t="s">
        <v>5223</v>
      </c>
      <c r="B25" t="s">
        <v>5224</v>
      </c>
      <c r="C25" t="s">
        <v>5225</v>
      </c>
      <c r="D25" t="str">
        <f>"0870"</f>
        <v>0870</v>
      </c>
      <c r="E25" t="s">
        <v>5185</v>
      </c>
      <c r="F25" t="s">
        <v>5226</v>
      </c>
      <c r="G25" t="str">
        <f>"12.06.2018"</f>
        <v>12.06.2018</v>
      </c>
      <c r="H25" t="s">
        <v>5227</v>
      </c>
      <c r="I25" t="s">
        <v>5228</v>
      </c>
      <c r="J25" t="s">
        <v>5229</v>
      </c>
      <c r="K25" t="s">
        <v>19</v>
      </c>
    </row>
    <row r="26" spans="1:11" x14ac:dyDescent="0.2">
      <c r="A26" t="s">
        <v>5230</v>
      </c>
      <c r="B26" t="s">
        <v>5231</v>
      </c>
      <c r="C26" t="s">
        <v>5232</v>
      </c>
      <c r="D26" t="str">
        <f>"1177"</f>
        <v>1177</v>
      </c>
      <c r="E26" t="s">
        <v>5185</v>
      </c>
      <c r="F26" t="s">
        <v>5233</v>
      </c>
      <c r="G26" t="str">
        <f>"03.01.2013"</f>
        <v>03.01.2013</v>
      </c>
      <c r="H26" t="s">
        <v>5234</v>
      </c>
      <c r="I26" t="s">
        <v>5235</v>
      </c>
      <c r="J26" t="s">
        <v>5236</v>
      </c>
      <c r="K26" t="s">
        <v>5237</v>
      </c>
    </row>
    <row r="27" spans="1:11" x14ac:dyDescent="0.2">
      <c r="A27" t="s">
        <v>5238</v>
      </c>
      <c r="B27" t="s">
        <v>5239</v>
      </c>
      <c r="C27" t="s">
        <v>5240</v>
      </c>
      <c r="D27" t="str">
        <f>"0164"</f>
        <v>0164</v>
      </c>
      <c r="E27" t="s">
        <v>5185</v>
      </c>
      <c r="F27" t="s">
        <v>5241</v>
      </c>
      <c r="G27" t="str">
        <f>"10.10.2017"</f>
        <v>10.10.2017</v>
      </c>
      <c r="H27" t="s">
        <v>5242</v>
      </c>
      <c r="I27" t="s">
        <v>5243</v>
      </c>
      <c r="J27" t="s">
        <v>5244</v>
      </c>
      <c r="K27" t="s">
        <v>19</v>
      </c>
    </row>
    <row r="28" spans="1:11" x14ac:dyDescent="0.2">
      <c r="A28" t="s">
        <v>5245</v>
      </c>
      <c r="B28" t="s">
        <v>5246</v>
      </c>
      <c r="C28" t="s">
        <v>5247</v>
      </c>
      <c r="D28" t="str">
        <f>"1715"</f>
        <v>1715</v>
      </c>
      <c r="E28" t="s">
        <v>5248</v>
      </c>
      <c r="F28" t="s">
        <v>5249</v>
      </c>
      <c r="G28" t="str">
        <f>"06.05.2013"</f>
        <v>06.05.2013</v>
      </c>
      <c r="H28" t="s">
        <v>5250</v>
      </c>
      <c r="I28" t="s">
        <v>5251</v>
      </c>
      <c r="J28" t="s">
        <v>5252</v>
      </c>
      <c r="K28" t="s">
        <v>19</v>
      </c>
    </row>
    <row r="29" spans="1:11" x14ac:dyDescent="0.2">
      <c r="A29" t="s">
        <v>5253</v>
      </c>
      <c r="B29" t="s">
        <v>5254</v>
      </c>
      <c r="C29" t="s">
        <v>5255</v>
      </c>
      <c r="D29" t="str">
        <f>"0161"</f>
        <v>0161</v>
      </c>
      <c r="E29" t="s">
        <v>5185</v>
      </c>
      <c r="F29" t="s">
        <v>5256</v>
      </c>
      <c r="G29" t="str">
        <f>"08.03.2018"</f>
        <v>08.03.2018</v>
      </c>
      <c r="H29" t="s">
        <v>5257</v>
      </c>
      <c r="I29" t="s">
        <v>5258</v>
      </c>
      <c r="J29" t="s">
        <v>5259</v>
      </c>
      <c r="K29" t="s">
        <v>19</v>
      </c>
    </row>
    <row r="30" spans="1:11" x14ac:dyDescent="0.2">
      <c r="A30" t="s">
        <v>5260</v>
      </c>
      <c r="B30" t="s">
        <v>5261</v>
      </c>
      <c r="C30" t="s">
        <v>5262</v>
      </c>
      <c r="D30" t="str">
        <f>"0104"</f>
        <v>0104</v>
      </c>
      <c r="E30" t="s">
        <v>5185</v>
      </c>
      <c r="F30" t="s">
        <v>5263</v>
      </c>
      <c r="G30" t="str">
        <f>"05.06.2013"</f>
        <v>05.06.2013</v>
      </c>
      <c r="H30" t="s">
        <v>5264</v>
      </c>
      <c r="I30" t="s">
        <v>5265</v>
      </c>
      <c r="J30" t="s">
        <v>5266</v>
      </c>
      <c r="K30" t="s">
        <v>19</v>
      </c>
    </row>
    <row r="31" spans="1:11" x14ac:dyDescent="0.2">
      <c r="A31" t="s">
        <v>5267</v>
      </c>
      <c r="B31" t="s">
        <v>5268</v>
      </c>
      <c r="C31" t="s">
        <v>5269</v>
      </c>
      <c r="D31" t="str">
        <f>"0349"</f>
        <v>0349</v>
      </c>
      <c r="E31" t="s">
        <v>5185</v>
      </c>
      <c r="F31" t="s">
        <v>5270</v>
      </c>
      <c r="G31" t="str">
        <f>"23.06.2011"</f>
        <v>23.06.2011</v>
      </c>
      <c r="H31" t="s">
        <v>5271</v>
      </c>
      <c r="I31" t="s">
        <v>5272</v>
      </c>
      <c r="J31" t="s">
        <v>5273</v>
      </c>
      <c r="K31" t="s">
        <v>3422</v>
      </c>
    </row>
    <row r="32" spans="1:11" x14ac:dyDescent="0.2">
      <c r="A32" t="s">
        <v>5274</v>
      </c>
      <c r="B32" t="s">
        <v>5275</v>
      </c>
      <c r="C32" t="s">
        <v>5276</v>
      </c>
      <c r="D32" t="str">
        <f>"0172"</f>
        <v>0172</v>
      </c>
      <c r="E32" t="s">
        <v>5185</v>
      </c>
      <c r="F32" t="s">
        <v>5277</v>
      </c>
      <c r="G32" t="str">
        <f>"08.12.2020"</f>
        <v>08.12.2020</v>
      </c>
      <c r="H32" t="s">
        <v>5278</v>
      </c>
      <c r="I32" t="s">
        <v>5279</v>
      </c>
      <c r="J32" t="s">
        <v>5280</v>
      </c>
      <c r="K32" t="s">
        <v>19</v>
      </c>
    </row>
    <row r="33" spans="1:11" x14ac:dyDescent="0.2">
      <c r="A33" t="s">
        <v>5281</v>
      </c>
      <c r="B33" t="s">
        <v>5282</v>
      </c>
      <c r="C33" t="s">
        <v>5283</v>
      </c>
      <c r="D33" t="str">
        <f>"7455"</f>
        <v>7455</v>
      </c>
      <c r="E33" t="s">
        <v>5284</v>
      </c>
      <c r="F33" t="s">
        <v>5285</v>
      </c>
      <c r="G33" t="str">
        <f>"14.10.2004"</f>
        <v>14.10.2004</v>
      </c>
      <c r="H33" t="s">
        <v>5286</v>
      </c>
      <c r="I33" t="s">
        <v>5287</v>
      </c>
      <c r="J33" t="s">
        <v>5288</v>
      </c>
      <c r="K33" t="s">
        <v>19</v>
      </c>
    </row>
    <row r="34" spans="1:11" x14ac:dyDescent="0.2">
      <c r="A34" t="s">
        <v>5289</v>
      </c>
      <c r="B34" t="s">
        <v>5290</v>
      </c>
      <c r="C34" t="s">
        <v>5291</v>
      </c>
      <c r="D34" t="str">
        <f>"1364"</f>
        <v>1364</v>
      </c>
      <c r="E34" t="s">
        <v>5292</v>
      </c>
      <c r="F34" t="s">
        <v>5293</v>
      </c>
      <c r="G34" t="str">
        <f>"21.02.2005"</f>
        <v>21.02.2005</v>
      </c>
      <c r="H34" t="s">
        <v>5294</v>
      </c>
      <c r="I34" t="s">
        <v>5295</v>
      </c>
      <c r="J34" t="s">
        <v>5296</v>
      </c>
      <c r="K34" t="s">
        <v>5297</v>
      </c>
    </row>
    <row r="35" spans="1:11" x14ac:dyDescent="0.2">
      <c r="A35" t="s">
        <v>5298</v>
      </c>
      <c r="B35" t="s">
        <v>5299</v>
      </c>
      <c r="C35" t="s">
        <v>5300</v>
      </c>
      <c r="D35" t="str">
        <f>"0489"</f>
        <v>0489</v>
      </c>
      <c r="E35" t="s">
        <v>5185</v>
      </c>
      <c r="F35" t="s">
        <v>5301</v>
      </c>
      <c r="G35" t="str">
        <f>"03.11.2014"</f>
        <v>03.11.2014</v>
      </c>
      <c r="H35" t="s">
        <v>5302</v>
      </c>
      <c r="I35" t="s">
        <v>5303</v>
      </c>
      <c r="J35" t="s">
        <v>5304</v>
      </c>
      <c r="K35" t="s">
        <v>5305</v>
      </c>
    </row>
    <row r="36" spans="1:11" x14ac:dyDescent="0.2">
      <c r="A36" t="s">
        <v>5306</v>
      </c>
      <c r="B36" t="s">
        <v>5307</v>
      </c>
      <c r="C36" t="s">
        <v>5308</v>
      </c>
      <c r="D36" t="str">
        <f>"0191"</f>
        <v>0191</v>
      </c>
      <c r="E36" t="s">
        <v>5185</v>
      </c>
      <c r="F36" t="s">
        <v>5309</v>
      </c>
      <c r="G36" t="str">
        <f>"12.12.2006"</f>
        <v>12.12.2006</v>
      </c>
      <c r="H36" t="s">
        <v>5310</v>
      </c>
      <c r="I36" t="s">
        <v>5311</v>
      </c>
      <c r="J36" t="s">
        <v>5312</v>
      </c>
      <c r="K36" t="s">
        <v>5313</v>
      </c>
    </row>
    <row r="37" spans="1:11" x14ac:dyDescent="0.2">
      <c r="A37" t="s">
        <v>5314</v>
      </c>
      <c r="B37" t="s">
        <v>5315</v>
      </c>
      <c r="C37" t="s">
        <v>5316</v>
      </c>
      <c r="D37" t="str">
        <f>"4033"</f>
        <v>4033</v>
      </c>
      <c r="E37" t="s">
        <v>5317</v>
      </c>
      <c r="F37" t="s">
        <v>5318</v>
      </c>
      <c r="G37" t="str">
        <f>"06.06.1997"</f>
        <v>06.06.1997</v>
      </c>
      <c r="H37" t="s">
        <v>5319</v>
      </c>
      <c r="I37" t="s">
        <v>5320</v>
      </c>
      <c r="J37" t="s">
        <v>5321</v>
      </c>
      <c r="K37" t="s">
        <v>5322</v>
      </c>
    </row>
    <row r="38" spans="1:11" x14ac:dyDescent="0.2">
      <c r="A38" t="s">
        <v>5323</v>
      </c>
      <c r="B38" t="s">
        <v>5324</v>
      </c>
      <c r="C38" t="s">
        <v>5325</v>
      </c>
      <c r="D38" t="str">
        <f>"0278"</f>
        <v>0278</v>
      </c>
      <c r="E38" t="s">
        <v>5185</v>
      </c>
      <c r="F38" t="s">
        <v>5326</v>
      </c>
      <c r="G38" t="str">
        <f>"12.05.2000"</f>
        <v>12.05.2000</v>
      </c>
      <c r="H38" t="s">
        <v>5327</v>
      </c>
      <c r="I38" t="s">
        <v>5328</v>
      </c>
      <c r="J38" t="s">
        <v>5329</v>
      </c>
      <c r="K38" t="s">
        <v>443</v>
      </c>
    </row>
    <row r="39" spans="1:11" x14ac:dyDescent="0.2">
      <c r="A39" t="s">
        <v>5330</v>
      </c>
      <c r="B39" t="s">
        <v>5331</v>
      </c>
      <c r="C39" t="s">
        <v>5332</v>
      </c>
      <c r="D39" t="str">
        <f>"5533"</f>
        <v>5533</v>
      </c>
      <c r="E39" t="s">
        <v>5333</v>
      </c>
      <c r="F39" t="s">
        <v>5334</v>
      </c>
      <c r="G39" t="str">
        <f>"06.10.2015"</f>
        <v>06.10.2015</v>
      </c>
      <c r="H39" t="s">
        <v>5335</v>
      </c>
      <c r="I39" t="s">
        <v>5336</v>
      </c>
      <c r="J39" t="s">
        <v>5337</v>
      </c>
      <c r="K39" t="s">
        <v>19</v>
      </c>
    </row>
    <row r="40" spans="1:11" x14ac:dyDescent="0.2">
      <c r="A40" t="s">
        <v>5338</v>
      </c>
      <c r="B40" t="s">
        <v>5339</v>
      </c>
      <c r="C40" t="s">
        <v>5340</v>
      </c>
      <c r="D40" t="str">
        <f>"1415"</f>
        <v>1415</v>
      </c>
      <c r="E40" t="s">
        <v>5341</v>
      </c>
      <c r="F40" t="s">
        <v>5342</v>
      </c>
      <c r="G40" t="str">
        <f>"04.07.2018"</f>
        <v>04.07.2018</v>
      </c>
      <c r="H40" t="s">
        <v>5343</v>
      </c>
      <c r="I40" t="s">
        <v>5344</v>
      </c>
      <c r="J40" t="s">
        <v>5345</v>
      </c>
      <c r="K40" t="s">
        <v>5346</v>
      </c>
    </row>
    <row r="41" spans="1:11" x14ac:dyDescent="0.2">
      <c r="A41" t="s">
        <v>5347</v>
      </c>
      <c r="B41" t="s">
        <v>5348</v>
      </c>
      <c r="C41" t="s">
        <v>5349</v>
      </c>
      <c r="D41" t="str">
        <f>"4608"</f>
        <v>4608</v>
      </c>
      <c r="E41" t="s">
        <v>5350</v>
      </c>
      <c r="F41" t="s">
        <v>5351</v>
      </c>
      <c r="G41" t="str">
        <f>"09.03.2004"</f>
        <v>09.03.2004</v>
      </c>
      <c r="H41" t="s">
        <v>5352</v>
      </c>
      <c r="I41" t="s">
        <v>5353</v>
      </c>
      <c r="J41" t="s">
        <v>5354</v>
      </c>
      <c r="K41" t="s">
        <v>5355</v>
      </c>
    </row>
    <row r="42" spans="1:11" x14ac:dyDescent="0.2">
      <c r="A42" t="s">
        <v>5356</v>
      </c>
      <c r="B42" t="s">
        <v>5357</v>
      </c>
      <c r="C42" t="s">
        <v>5358</v>
      </c>
      <c r="D42" t="str">
        <f>"3103"</f>
        <v>3103</v>
      </c>
      <c r="E42" t="s">
        <v>5359</v>
      </c>
      <c r="F42" t="s">
        <v>5360</v>
      </c>
      <c r="G42" t="str">
        <f>"24.05.2000"</f>
        <v>24.05.2000</v>
      </c>
      <c r="H42" t="s">
        <v>5361</v>
      </c>
      <c r="I42" t="s">
        <v>5362</v>
      </c>
      <c r="J42" t="s">
        <v>5363</v>
      </c>
      <c r="K42" t="s">
        <v>19</v>
      </c>
    </row>
    <row r="43" spans="1:11" x14ac:dyDescent="0.2">
      <c r="A43" t="s">
        <v>5364</v>
      </c>
      <c r="B43" t="s">
        <v>5365</v>
      </c>
      <c r="C43" t="s">
        <v>5366</v>
      </c>
      <c r="D43" t="str">
        <f>"4313"</f>
        <v>4313</v>
      </c>
      <c r="E43" t="s">
        <v>5367</v>
      </c>
      <c r="F43" t="s">
        <v>5368</v>
      </c>
      <c r="G43" t="str">
        <f>"23.06.2016"</f>
        <v>23.06.2016</v>
      </c>
      <c r="H43" t="s">
        <v>5369</v>
      </c>
      <c r="I43" t="s">
        <v>5370</v>
      </c>
      <c r="J43" t="s">
        <v>5371</v>
      </c>
      <c r="K43" t="s">
        <v>19</v>
      </c>
    </row>
    <row r="44" spans="1:11" x14ac:dyDescent="0.2">
      <c r="A44" t="s">
        <v>5372</v>
      </c>
      <c r="B44" t="s">
        <v>5373</v>
      </c>
      <c r="C44" t="s">
        <v>5240</v>
      </c>
      <c r="D44" t="str">
        <f>"0164"</f>
        <v>0164</v>
      </c>
      <c r="E44" t="s">
        <v>5185</v>
      </c>
      <c r="F44" t="s">
        <v>5374</v>
      </c>
      <c r="G44" t="str">
        <f>"13.01.1998"</f>
        <v>13.01.1998</v>
      </c>
      <c r="H44" t="s">
        <v>5375</v>
      </c>
      <c r="I44" t="s">
        <v>5376</v>
      </c>
      <c r="J44" t="s">
        <v>5377</v>
      </c>
      <c r="K44" t="s">
        <v>5378</v>
      </c>
    </row>
    <row r="45" spans="1:11" x14ac:dyDescent="0.2">
      <c r="A45" t="s">
        <v>5379</v>
      </c>
      <c r="B45" t="s">
        <v>5380</v>
      </c>
      <c r="C45" t="s">
        <v>5381</v>
      </c>
      <c r="D45" t="str">
        <f>"1392"</f>
        <v>1392</v>
      </c>
      <c r="E45" t="s">
        <v>5382</v>
      </c>
      <c r="F45" t="s">
        <v>5383</v>
      </c>
      <c r="G45" t="str">
        <f>"04.02.2010"</f>
        <v>04.02.2010</v>
      </c>
      <c r="H45" t="s">
        <v>5384</v>
      </c>
      <c r="I45" t="s">
        <v>5385</v>
      </c>
      <c r="J45" t="s">
        <v>5386</v>
      </c>
      <c r="K45" t="s">
        <v>19</v>
      </c>
    </row>
    <row r="46" spans="1:11" x14ac:dyDescent="0.2">
      <c r="A46" t="s">
        <v>5387</v>
      </c>
      <c r="B46" t="s">
        <v>5388</v>
      </c>
      <c r="C46" t="s">
        <v>5389</v>
      </c>
      <c r="D46" t="str">
        <f>"0168"</f>
        <v>0168</v>
      </c>
      <c r="E46" t="s">
        <v>5185</v>
      </c>
      <c r="F46" t="s">
        <v>5390</v>
      </c>
      <c r="G46" t="str">
        <f>"15.03.2019"</f>
        <v>15.03.2019</v>
      </c>
      <c r="H46" t="s">
        <v>5391</v>
      </c>
      <c r="I46" t="s">
        <v>5392</v>
      </c>
      <c r="J46" t="s">
        <v>5393</v>
      </c>
      <c r="K46" t="s">
        <v>5297</v>
      </c>
    </row>
    <row r="47" spans="1:11" x14ac:dyDescent="0.2">
      <c r="A47" t="s">
        <v>5394</v>
      </c>
      <c r="B47" t="s">
        <v>5395</v>
      </c>
      <c r="C47" t="s">
        <v>5396</v>
      </c>
      <c r="D47" t="str">
        <f>"0363"</f>
        <v>0363</v>
      </c>
      <c r="E47" t="s">
        <v>5185</v>
      </c>
      <c r="F47" t="s">
        <v>5397</v>
      </c>
      <c r="G47" t="str">
        <f>"26.01.2015"</f>
        <v>26.01.2015</v>
      </c>
      <c r="H47" t="s">
        <v>5398</v>
      </c>
      <c r="I47" t="s">
        <v>5399</v>
      </c>
      <c r="J47" t="s">
        <v>5400</v>
      </c>
      <c r="K47" t="s">
        <v>5191</v>
      </c>
    </row>
    <row r="48" spans="1:11" x14ac:dyDescent="0.2">
      <c r="A48" t="s">
        <v>5401</v>
      </c>
      <c r="B48" t="s">
        <v>5402</v>
      </c>
      <c r="C48" t="s">
        <v>5403</v>
      </c>
      <c r="D48" t="str">
        <f>"0561"</f>
        <v>0561</v>
      </c>
      <c r="E48" t="s">
        <v>5185</v>
      </c>
      <c r="F48" t="s">
        <v>5404</v>
      </c>
      <c r="G48" t="str">
        <f>"09.01.2018"</f>
        <v>09.01.2018</v>
      </c>
      <c r="H48" t="s">
        <v>5405</v>
      </c>
      <c r="I48" t="s">
        <v>5406</v>
      </c>
      <c r="J48" t="s">
        <v>5407</v>
      </c>
      <c r="K48" t="s">
        <v>5297</v>
      </c>
    </row>
    <row r="49" spans="1:11" x14ac:dyDescent="0.2">
      <c r="A49" t="s">
        <v>5408</v>
      </c>
      <c r="B49" t="s">
        <v>5409</v>
      </c>
      <c r="C49" t="s">
        <v>5410</v>
      </c>
      <c r="D49" t="str">
        <f>"0154"</f>
        <v>0154</v>
      </c>
      <c r="E49" t="s">
        <v>5185</v>
      </c>
      <c r="F49" t="s">
        <v>5411</v>
      </c>
      <c r="G49" t="str">
        <f>"15.06.2015"</f>
        <v>15.06.2015</v>
      </c>
      <c r="H49" t="s">
        <v>2049</v>
      </c>
      <c r="I49" t="s">
        <v>5412</v>
      </c>
      <c r="J49" t="s">
        <v>5413</v>
      </c>
      <c r="K49" t="s">
        <v>1894</v>
      </c>
    </row>
    <row r="50" spans="1:11" x14ac:dyDescent="0.2">
      <c r="A50" t="s">
        <v>5414</v>
      </c>
      <c r="B50" t="s">
        <v>5415</v>
      </c>
      <c r="C50" t="s">
        <v>5416</v>
      </c>
      <c r="D50" t="str">
        <f>"0120"</f>
        <v>0120</v>
      </c>
      <c r="E50" t="s">
        <v>5185</v>
      </c>
      <c r="F50" t="s">
        <v>5417</v>
      </c>
      <c r="G50" t="str">
        <f>"22.05.2019"</f>
        <v>22.05.2019</v>
      </c>
      <c r="H50" t="s">
        <v>5418</v>
      </c>
      <c r="I50" t="s">
        <v>5419</v>
      </c>
      <c r="J50" t="s">
        <v>5420</v>
      </c>
      <c r="K50" t="s">
        <v>5421</v>
      </c>
    </row>
    <row r="51" spans="1:11" x14ac:dyDescent="0.2">
      <c r="A51" t="s">
        <v>5422</v>
      </c>
      <c r="B51" t="s">
        <v>5423</v>
      </c>
      <c r="C51" t="s">
        <v>5424</v>
      </c>
      <c r="D51" t="str">
        <f>"2050"</f>
        <v>2050</v>
      </c>
      <c r="E51" t="s">
        <v>5425</v>
      </c>
      <c r="F51" t="s">
        <v>5426</v>
      </c>
      <c r="G51" t="str">
        <f>"04.03.2009"</f>
        <v>04.03.2009</v>
      </c>
      <c r="H51" t="s">
        <v>5427</v>
      </c>
      <c r="I51" t="s">
        <v>5428</v>
      </c>
      <c r="J51" t="s">
        <v>5429</v>
      </c>
    </row>
    <row r="52" spans="1:11" x14ac:dyDescent="0.2">
      <c r="A52" t="s">
        <v>5430</v>
      </c>
      <c r="B52" t="s">
        <v>5431</v>
      </c>
      <c r="C52" t="s">
        <v>5432</v>
      </c>
      <c r="D52" t="str">
        <f>"0283"</f>
        <v>0283</v>
      </c>
      <c r="E52" t="s">
        <v>5185</v>
      </c>
      <c r="F52" t="s">
        <v>5433</v>
      </c>
      <c r="G52" t="str">
        <f>"28.04.2009"</f>
        <v>28.04.2009</v>
      </c>
      <c r="H52" t="s">
        <v>5434</v>
      </c>
      <c r="I52" t="s">
        <v>5435</v>
      </c>
      <c r="J52" t="s">
        <v>5436</v>
      </c>
      <c r="K52" t="s">
        <v>5437</v>
      </c>
    </row>
    <row r="53" spans="1:11" x14ac:dyDescent="0.2">
      <c r="A53" t="s">
        <v>5438</v>
      </c>
      <c r="B53" t="s">
        <v>5439</v>
      </c>
      <c r="C53" t="s">
        <v>5440</v>
      </c>
      <c r="D53" t="str">
        <f>"4068"</f>
        <v>4068</v>
      </c>
      <c r="E53" t="s">
        <v>5317</v>
      </c>
      <c r="F53" t="s">
        <v>5441</v>
      </c>
      <c r="G53" t="str">
        <f>"25.11.2010"</f>
        <v>25.11.2010</v>
      </c>
      <c r="H53" t="s">
        <v>5442</v>
      </c>
      <c r="I53" t="s">
        <v>5443</v>
      </c>
      <c r="J53" t="s">
        <v>5444</v>
      </c>
      <c r="K53" t="s">
        <v>5445</v>
      </c>
    </row>
    <row r="54" spans="1:11" x14ac:dyDescent="0.2">
      <c r="A54" t="s">
        <v>5446</v>
      </c>
      <c r="B54" t="s">
        <v>5447</v>
      </c>
      <c r="C54" t="s">
        <v>5440</v>
      </c>
      <c r="D54" t="str">
        <f>"4068"</f>
        <v>4068</v>
      </c>
      <c r="E54" t="s">
        <v>5317</v>
      </c>
      <c r="F54" t="s">
        <v>5448</v>
      </c>
      <c r="G54" t="str">
        <f>"01.11.2010"</f>
        <v>01.11.2010</v>
      </c>
      <c r="H54" t="s">
        <v>5442</v>
      </c>
      <c r="I54" t="s">
        <v>5449</v>
      </c>
      <c r="J54" t="s">
        <v>5450</v>
      </c>
      <c r="K54" t="s">
        <v>5445</v>
      </c>
    </row>
    <row r="55" spans="1:11" x14ac:dyDescent="0.2">
      <c r="A55" t="s">
        <v>5451</v>
      </c>
      <c r="B55" t="s">
        <v>5452</v>
      </c>
      <c r="C55" t="s">
        <v>5453</v>
      </c>
      <c r="D55" t="str">
        <f>"1326"</f>
        <v>1326</v>
      </c>
      <c r="E55" t="s">
        <v>5454</v>
      </c>
      <c r="F55" t="s">
        <v>5455</v>
      </c>
      <c r="G55" t="str">
        <f>"19.05.2014"</f>
        <v>19.05.2014</v>
      </c>
      <c r="H55" t="s">
        <v>5456</v>
      </c>
      <c r="I55" t="s">
        <v>5457</v>
      </c>
      <c r="J55" t="s">
        <v>5458</v>
      </c>
      <c r="K55" t="s">
        <v>19</v>
      </c>
    </row>
    <row r="56" spans="1:11" x14ac:dyDescent="0.2">
      <c r="A56" t="s">
        <v>5459</v>
      </c>
      <c r="B56" t="s">
        <v>5460</v>
      </c>
      <c r="C56" t="s">
        <v>5461</v>
      </c>
      <c r="D56" t="str">
        <f>"0350"</f>
        <v>0350</v>
      </c>
      <c r="E56" t="s">
        <v>5185</v>
      </c>
      <c r="F56" t="s">
        <v>5462</v>
      </c>
      <c r="G56" t="str">
        <f>"29.01.1998"</f>
        <v>29.01.1998</v>
      </c>
      <c r="H56" t="s">
        <v>5463</v>
      </c>
      <c r="I56" t="s">
        <v>5464</v>
      </c>
      <c r="J56" t="s">
        <v>5465</v>
      </c>
      <c r="K56" t="s">
        <v>19</v>
      </c>
    </row>
    <row r="57" spans="1:11" x14ac:dyDescent="0.2">
      <c r="A57" t="s">
        <v>5466</v>
      </c>
      <c r="B57" t="s">
        <v>5467</v>
      </c>
      <c r="C57" t="s">
        <v>5468</v>
      </c>
      <c r="D57" t="str">
        <f>"0422"</f>
        <v>0422</v>
      </c>
      <c r="E57" t="s">
        <v>5185</v>
      </c>
      <c r="F57" t="s">
        <v>5469</v>
      </c>
      <c r="G57" t="str">
        <f>"19.02.1995"</f>
        <v>19.02.1995</v>
      </c>
      <c r="H57" t="s">
        <v>5470</v>
      </c>
      <c r="I57" t="s">
        <v>5471</v>
      </c>
      <c r="J57" t="s">
        <v>5472</v>
      </c>
      <c r="K57" t="s">
        <v>5297</v>
      </c>
    </row>
    <row r="58" spans="1:11" x14ac:dyDescent="0.2">
      <c r="A58" t="s">
        <v>5473</v>
      </c>
      <c r="B58" t="s">
        <v>5474</v>
      </c>
      <c r="C58" t="s">
        <v>5475</v>
      </c>
      <c r="D58" t="str">
        <f>"2216"</f>
        <v>2216</v>
      </c>
      <c r="E58" t="s">
        <v>5476</v>
      </c>
      <c r="F58" t="s">
        <v>5477</v>
      </c>
      <c r="G58" t="str">
        <f>"11.05.2018"</f>
        <v>11.05.2018</v>
      </c>
      <c r="H58" t="s">
        <v>5478</v>
      </c>
      <c r="I58" t="s">
        <v>5479</v>
      </c>
      <c r="J58" t="s">
        <v>5480</v>
      </c>
      <c r="K58" t="s">
        <v>19</v>
      </c>
    </row>
    <row r="59" spans="1:11" x14ac:dyDescent="0.2">
      <c r="A59" t="s">
        <v>5481</v>
      </c>
      <c r="B59" t="s">
        <v>5482</v>
      </c>
      <c r="C59" t="s">
        <v>5483</v>
      </c>
      <c r="D59" t="str">
        <f>"2806"</f>
        <v>2806</v>
      </c>
      <c r="E59" t="s">
        <v>5484</v>
      </c>
      <c r="F59" t="s">
        <v>5485</v>
      </c>
      <c r="G59" t="str">
        <f>"10.10.2016"</f>
        <v>10.10.2016</v>
      </c>
      <c r="H59" t="s">
        <v>5486</v>
      </c>
      <c r="I59" t="s">
        <v>5487</v>
      </c>
      <c r="J59" t="s">
        <v>5488</v>
      </c>
      <c r="K59" t="s">
        <v>19</v>
      </c>
    </row>
    <row r="60" spans="1:11" x14ac:dyDescent="0.2">
      <c r="A60" t="s">
        <v>5489</v>
      </c>
      <c r="B60" t="s">
        <v>5490</v>
      </c>
      <c r="C60" t="s">
        <v>5491</v>
      </c>
      <c r="D60" t="str">
        <f>"1366"</f>
        <v>1366</v>
      </c>
      <c r="E60" t="s">
        <v>5454</v>
      </c>
      <c r="F60" t="s">
        <v>5492</v>
      </c>
      <c r="G60" t="str">
        <f>"19.12.2016"</f>
        <v>19.12.2016</v>
      </c>
      <c r="H60" t="s">
        <v>5493</v>
      </c>
      <c r="I60" t="s">
        <v>5494</v>
      </c>
      <c r="J60" t="s">
        <v>5495</v>
      </c>
      <c r="K60" t="s">
        <v>19</v>
      </c>
    </row>
    <row r="61" spans="1:11" x14ac:dyDescent="0.2">
      <c r="A61" t="s">
        <v>5496</v>
      </c>
      <c r="B61" t="s">
        <v>5497</v>
      </c>
      <c r="C61" t="s">
        <v>5498</v>
      </c>
      <c r="D61" t="str">
        <f>"1330"</f>
        <v>1330</v>
      </c>
      <c r="E61" t="s">
        <v>5292</v>
      </c>
      <c r="F61" t="s">
        <v>5499</v>
      </c>
      <c r="G61" t="str">
        <f>"17.12.2002"</f>
        <v>17.12.2002</v>
      </c>
      <c r="H61" t="s">
        <v>5500</v>
      </c>
      <c r="I61" t="s">
        <v>5501</v>
      </c>
      <c r="J61" t="s">
        <v>5502</v>
      </c>
      <c r="K61" t="s">
        <v>5191</v>
      </c>
    </row>
    <row r="62" spans="1:11" x14ac:dyDescent="0.2">
      <c r="A62" t="s">
        <v>5503</v>
      </c>
      <c r="B62" t="s">
        <v>5504</v>
      </c>
      <c r="C62" t="s">
        <v>5505</v>
      </c>
      <c r="D62" t="str">
        <f>"0279"</f>
        <v>0279</v>
      </c>
      <c r="E62" t="s">
        <v>5185</v>
      </c>
      <c r="F62" t="s">
        <v>5506</v>
      </c>
      <c r="G62" t="str">
        <f>"08.11.1996"</f>
        <v>08.11.1996</v>
      </c>
      <c r="H62" t="s">
        <v>5507</v>
      </c>
      <c r="I62" t="s">
        <v>5508</v>
      </c>
      <c r="J62" t="s">
        <v>5509</v>
      </c>
      <c r="K62" t="s">
        <v>5510</v>
      </c>
    </row>
    <row r="63" spans="1:11" x14ac:dyDescent="0.2">
      <c r="A63" t="s">
        <v>5511</v>
      </c>
      <c r="B63" t="s">
        <v>5512</v>
      </c>
      <c r="C63" t="s">
        <v>5513</v>
      </c>
      <c r="D63" t="str">
        <f>"1184"</f>
        <v>1184</v>
      </c>
      <c r="E63" t="s">
        <v>5185</v>
      </c>
      <c r="F63" t="s">
        <v>5514</v>
      </c>
      <c r="G63" t="str">
        <f>"10.02.2017"</f>
        <v>10.02.2017</v>
      </c>
      <c r="H63" t="s">
        <v>5515</v>
      </c>
      <c r="I63" t="s">
        <v>5516</v>
      </c>
      <c r="J63" t="s">
        <v>5517</v>
      </c>
      <c r="K63" t="s">
        <v>5518</v>
      </c>
    </row>
    <row r="64" spans="1:11" x14ac:dyDescent="0.2">
      <c r="A64" t="s">
        <v>5519</v>
      </c>
      <c r="B64" t="s">
        <v>5520</v>
      </c>
      <c r="C64" t="s">
        <v>5521</v>
      </c>
      <c r="D64" t="str">
        <f>"0604"</f>
        <v>0604</v>
      </c>
      <c r="E64" t="s">
        <v>5185</v>
      </c>
      <c r="F64" t="s">
        <v>5522</v>
      </c>
      <c r="G64" t="str">
        <f>"17.02.2014"</f>
        <v>17.02.2014</v>
      </c>
      <c r="H64" t="s">
        <v>5523</v>
      </c>
      <c r="I64" t="s">
        <v>5524</v>
      </c>
      <c r="J64" t="s">
        <v>5525</v>
      </c>
      <c r="K64" t="s">
        <v>5297</v>
      </c>
    </row>
    <row r="65" spans="1:11" x14ac:dyDescent="0.2">
      <c r="A65" t="s">
        <v>5526</v>
      </c>
      <c r="B65" t="s">
        <v>5527</v>
      </c>
      <c r="C65" t="s">
        <v>5528</v>
      </c>
      <c r="D65" t="str">
        <f>"3230"</f>
        <v>3230</v>
      </c>
      <c r="E65" t="s">
        <v>5210</v>
      </c>
      <c r="F65" t="s">
        <v>5529</v>
      </c>
      <c r="G65" t="str">
        <f>"08.10.2018"</f>
        <v>08.10.2018</v>
      </c>
      <c r="H65" t="s">
        <v>5530</v>
      </c>
      <c r="I65" t="s">
        <v>5531</v>
      </c>
      <c r="J65" t="s">
        <v>5532</v>
      </c>
      <c r="K65" t="s">
        <v>5533</v>
      </c>
    </row>
    <row r="66" spans="1:11" x14ac:dyDescent="0.2">
      <c r="A66" t="s">
        <v>5534</v>
      </c>
      <c r="B66" t="s">
        <v>5535</v>
      </c>
      <c r="C66" t="s">
        <v>5536</v>
      </c>
      <c r="D66" t="str">
        <f>"6011"</f>
        <v>6011</v>
      </c>
      <c r="E66" t="s">
        <v>5537</v>
      </c>
      <c r="F66" t="s">
        <v>5538</v>
      </c>
      <c r="G66" t="str">
        <f>"17.03.2016"</f>
        <v>17.03.2016</v>
      </c>
      <c r="H66" t="s">
        <v>5539</v>
      </c>
      <c r="I66" t="s">
        <v>5540</v>
      </c>
      <c r="J66" t="s">
        <v>5541</v>
      </c>
      <c r="K66" t="s">
        <v>19</v>
      </c>
    </row>
    <row r="67" spans="1:11" x14ac:dyDescent="0.2">
      <c r="A67" t="s">
        <v>5542</v>
      </c>
      <c r="B67" t="s">
        <v>5543</v>
      </c>
      <c r="C67" t="s">
        <v>5544</v>
      </c>
      <c r="D67" t="str">
        <f>"0560"</f>
        <v>0560</v>
      </c>
      <c r="E67" t="s">
        <v>5185</v>
      </c>
      <c r="F67" t="s">
        <v>5545</v>
      </c>
      <c r="G67" t="str">
        <f>"29.08.2016"</f>
        <v>29.08.2016</v>
      </c>
      <c r="H67" t="s">
        <v>5546</v>
      </c>
      <c r="I67" t="s">
        <v>5547</v>
      </c>
      <c r="J67" t="s">
        <v>5548</v>
      </c>
      <c r="K67" t="s">
        <v>19</v>
      </c>
    </row>
    <row r="68" spans="1:11" x14ac:dyDescent="0.2">
      <c r="A68" t="s">
        <v>5549</v>
      </c>
      <c r="B68" t="s">
        <v>5550</v>
      </c>
      <c r="C68" t="s">
        <v>5551</v>
      </c>
      <c r="D68" t="str">
        <f>"0217"</f>
        <v>0217</v>
      </c>
      <c r="E68" t="s">
        <v>5185</v>
      </c>
      <c r="F68" t="s">
        <v>5552</v>
      </c>
      <c r="G68" t="str">
        <f>"01.06.2015"</f>
        <v>01.06.2015</v>
      </c>
      <c r="H68" t="s">
        <v>5553</v>
      </c>
      <c r="I68" t="s">
        <v>5554</v>
      </c>
      <c r="J68" t="s">
        <v>5555</v>
      </c>
      <c r="K68" t="s">
        <v>19</v>
      </c>
    </row>
    <row r="69" spans="1:11" x14ac:dyDescent="0.2">
      <c r="A69" t="s">
        <v>5556</v>
      </c>
      <c r="B69" t="s">
        <v>5557</v>
      </c>
      <c r="C69" t="s">
        <v>5558</v>
      </c>
      <c r="D69" t="str">
        <f>"1068"</f>
        <v>1068</v>
      </c>
      <c r="E69" t="s">
        <v>5185</v>
      </c>
      <c r="F69" t="s">
        <v>5559</v>
      </c>
      <c r="G69" t="str">
        <f>"29.01.2018"</f>
        <v>29.01.2018</v>
      </c>
      <c r="H69" t="s">
        <v>5560</v>
      </c>
      <c r="I69" t="s">
        <v>5561</v>
      </c>
      <c r="J69" t="s">
        <v>5562</v>
      </c>
      <c r="K69" t="s">
        <v>5563</v>
      </c>
    </row>
    <row r="70" spans="1:11" x14ac:dyDescent="0.2">
      <c r="A70" t="s">
        <v>5564</v>
      </c>
      <c r="B70" t="s">
        <v>5565</v>
      </c>
      <c r="C70" t="s">
        <v>5566</v>
      </c>
      <c r="D70" t="str">
        <f>"3717"</f>
        <v>3717</v>
      </c>
      <c r="E70" t="s">
        <v>5567</v>
      </c>
      <c r="F70" t="s">
        <v>5568</v>
      </c>
      <c r="G70" t="str">
        <f>"23.06.2017"</f>
        <v>23.06.2017</v>
      </c>
      <c r="H70" t="s">
        <v>5569</v>
      </c>
      <c r="I70" t="s">
        <v>5570</v>
      </c>
      <c r="J70" t="s">
        <v>5571</v>
      </c>
      <c r="K70" t="s">
        <v>19</v>
      </c>
    </row>
    <row r="71" spans="1:11" x14ac:dyDescent="0.2">
      <c r="A71" t="s">
        <v>5572</v>
      </c>
      <c r="B71" t="s">
        <v>5573</v>
      </c>
      <c r="C71" t="s">
        <v>5574</v>
      </c>
      <c r="D71" t="str">
        <f>"5221"</f>
        <v>5221</v>
      </c>
      <c r="E71" t="s">
        <v>5575</v>
      </c>
      <c r="F71" t="s">
        <v>5576</v>
      </c>
      <c r="G71" t="str">
        <f>"30.05.2017"</f>
        <v>30.05.2017</v>
      </c>
      <c r="H71" t="s">
        <v>5577</v>
      </c>
      <c r="I71" t="s">
        <v>5578</v>
      </c>
      <c r="J71" t="s">
        <v>5579</v>
      </c>
      <c r="K71" t="s">
        <v>5191</v>
      </c>
    </row>
    <row r="72" spans="1:11" x14ac:dyDescent="0.2">
      <c r="A72" t="s">
        <v>5580</v>
      </c>
      <c r="B72" t="s">
        <v>5581</v>
      </c>
      <c r="C72" t="s">
        <v>5582</v>
      </c>
      <c r="D72" t="str">
        <f>"0167"</f>
        <v>0167</v>
      </c>
      <c r="E72" t="s">
        <v>5185</v>
      </c>
      <c r="F72" t="s">
        <v>5583</v>
      </c>
      <c r="G72" t="str">
        <f>"18.12.2013"</f>
        <v>18.12.2013</v>
      </c>
      <c r="H72" t="s">
        <v>5584</v>
      </c>
      <c r="I72" t="s">
        <v>5585</v>
      </c>
      <c r="J72" t="s">
        <v>5586</v>
      </c>
      <c r="K72" t="s">
        <v>19</v>
      </c>
    </row>
    <row r="73" spans="1:11" x14ac:dyDescent="0.2">
      <c r="A73" t="s">
        <v>5587</v>
      </c>
      <c r="B73" t="s">
        <v>5588</v>
      </c>
      <c r="C73" t="s">
        <v>5589</v>
      </c>
      <c r="D73" t="str">
        <f>"0129"</f>
        <v>0129</v>
      </c>
      <c r="E73" t="s">
        <v>5185</v>
      </c>
      <c r="F73" t="s">
        <v>5590</v>
      </c>
      <c r="G73" t="str">
        <f>"03.12.2012"</f>
        <v>03.12.2012</v>
      </c>
      <c r="H73" t="s">
        <v>5591</v>
      </c>
      <c r="I73" t="s">
        <v>5592</v>
      </c>
      <c r="J73" t="s">
        <v>5593</v>
      </c>
      <c r="K73" t="s">
        <v>5297</v>
      </c>
    </row>
    <row r="74" spans="1:11" x14ac:dyDescent="0.2">
      <c r="A74" t="s">
        <v>5594</v>
      </c>
      <c r="B74" t="s">
        <v>5595</v>
      </c>
      <c r="C74" t="s">
        <v>5596</v>
      </c>
      <c r="D74" t="str">
        <f>"1003"</f>
        <v>1003</v>
      </c>
      <c r="E74" t="s">
        <v>5185</v>
      </c>
      <c r="F74" t="s">
        <v>5597</v>
      </c>
      <c r="G74" t="str">
        <f>"25.11.2020"</f>
        <v>25.11.2020</v>
      </c>
      <c r="H74" t="s">
        <v>5598</v>
      </c>
      <c r="I74" t="s">
        <v>5599</v>
      </c>
      <c r="J74" t="s">
        <v>5600</v>
      </c>
      <c r="K74" t="s">
        <v>19</v>
      </c>
    </row>
    <row r="75" spans="1:11" x14ac:dyDescent="0.2">
      <c r="A75" t="s">
        <v>5601</v>
      </c>
      <c r="B75" t="s">
        <v>5602</v>
      </c>
      <c r="C75" t="s">
        <v>5603</v>
      </c>
      <c r="D75" t="str">
        <f>"0160"</f>
        <v>0160</v>
      </c>
      <c r="E75" t="s">
        <v>5185</v>
      </c>
      <c r="F75" t="s">
        <v>5604</v>
      </c>
      <c r="G75" t="str">
        <f>"25.04.2012"</f>
        <v>25.04.2012</v>
      </c>
      <c r="H75" t="s">
        <v>5605</v>
      </c>
      <c r="I75" t="s">
        <v>5606</v>
      </c>
      <c r="J75" t="s">
        <v>5607</v>
      </c>
      <c r="K75" t="s">
        <v>5191</v>
      </c>
    </row>
    <row r="76" spans="1:11" x14ac:dyDescent="0.2">
      <c r="A76" t="s">
        <v>5608</v>
      </c>
      <c r="B76" t="s">
        <v>5609</v>
      </c>
      <c r="C76" t="s">
        <v>5610</v>
      </c>
      <c r="D76" t="str">
        <f>"0101"</f>
        <v>0101</v>
      </c>
      <c r="E76" t="s">
        <v>5185</v>
      </c>
      <c r="F76" t="s">
        <v>5611</v>
      </c>
      <c r="G76" t="str">
        <f>"31.10.2001"</f>
        <v>31.10.2001</v>
      </c>
      <c r="H76" t="s">
        <v>5612</v>
      </c>
      <c r="I76" t="s">
        <v>5613</v>
      </c>
      <c r="J76" t="s">
        <v>5614</v>
      </c>
      <c r="K76" t="s">
        <v>5297</v>
      </c>
    </row>
    <row r="77" spans="1:11" x14ac:dyDescent="0.2">
      <c r="A77" t="s">
        <v>5615</v>
      </c>
      <c r="B77" t="s">
        <v>5616</v>
      </c>
      <c r="C77" t="s">
        <v>5617</v>
      </c>
      <c r="D77" t="str">
        <f>"0278"</f>
        <v>0278</v>
      </c>
      <c r="E77" t="s">
        <v>5185</v>
      </c>
      <c r="F77" t="s">
        <v>5618</v>
      </c>
      <c r="G77" t="str">
        <f>"24.06.2010"</f>
        <v>24.06.2010</v>
      </c>
      <c r="H77" t="s">
        <v>5619</v>
      </c>
      <c r="I77" t="s">
        <v>5620</v>
      </c>
      <c r="J77" t="s">
        <v>5621</v>
      </c>
      <c r="K77" t="s">
        <v>5191</v>
      </c>
    </row>
    <row r="78" spans="1:11" x14ac:dyDescent="0.2">
      <c r="A78" t="s">
        <v>5622</v>
      </c>
      <c r="B78" t="s">
        <v>5623</v>
      </c>
      <c r="C78" t="s">
        <v>5624</v>
      </c>
      <c r="D78" t="str">
        <f>"0154"</f>
        <v>0154</v>
      </c>
      <c r="E78" t="s">
        <v>5185</v>
      </c>
      <c r="F78" t="s">
        <v>5625</v>
      </c>
      <c r="G78" t="str">
        <f>"31.08.2011"</f>
        <v>31.08.2011</v>
      </c>
      <c r="H78" t="s">
        <v>5626</v>
      </c>
      <c r="I78" t="s">
        <v>5627</v>
      </c>
      <c r="J78" t="s">
        <v>5628</v>
      </c>
    </row>
    <row r="79" spans="1:11" x14ac:dyDescent="0.2">
      <c r="A79" t="s">
        <v>5629</v>
      </c>
      <c r="B79" t="s">
        <v>5630</v>
      </c>
      <c r="C79" t="s">
        <v>5631</v>
      </c>
      <c r="D79" t="str">
        <f>"1165"</f>
        <v>1165</v>
      </c>
      <c r="E79" t="s">
        <v>5185</v>
      </c>
      <c r="F79" t="s">
        <v>5632</v>
      </c>
      <c r="G79" t="str">
        <f>"11.07.2013"</f>
        <v>11.07.2013</v>
      </c>
      <c r="H79" t="s">
        <v>5633</v>
      </c>
      <c r="I79" t="s">
        <v>5634</v>
      </c>
      <c r="J79" t="s">
        <v>5635</v>
      </c>
      <c r="K79" t="s">
        <v>19</v>
      </c>
    </row>
    <row r="80" spans="1:11" x14ac:dyDescent="0.2">
      <c r="A80" t="s">
        <v>5636</v>
      </c>
      <c r="B80" t="s">
        <v>5637</v>
      </c>
      <c r="C80" t="s">
        <v>5638</v>
      </c>
      <c r="D80" t="str">
        <f>"0101"</f>
        <v>0101</v>
      </c>
      <c r="E80" t="s">
        <v>5185</v>
      </c>
      <c r="F80" t="s">
        <v>5639</v>
      </c>
      <c r="G80" t="str">
        <f>"18.10.2016"</f>
        <v>18.10.2016</v>
      </c>
      <c r="H80" t="s">
        <v>5640</v>
      </c>
      <c r="I80" t="s">
        <v>5641</v>
      </c>
      <c r="J80" t="s">
        <v>5642</v>
      </c>
      <c r="K80" t="s">
        <v>5346</v>
      </c>
    </row>
    <row r="81" spans="1:11" x14ac:dyDescent="0.2">
      <c r="A81" t="s">
        <v>5643</v>
      </c>
      <c r="B81" t="s">
        <v>5644</v>
      </c>
      <c r="D81" t="str">
        <f>"2500"</f>
        <v>2500</v>
      </c>
      <c r="E81" t="s">
        <v>5645</v>
      </c>
      <c r="F81" t="s">
        <v>5646</v>
      </c>
      <c r="G81" t="str">
        <f>"12.03.1995"</f>
        <v>12.03.1995</v>
      </c>
      <c r="H81" t="s">
        <v>5647</v>
      </c>
      <c r="I81" t="s">
        <v>5648</v>
      </c>
      <c r="J81" t="s">
        <v>5649</v>
      </c>
      <c r="K81" t="s">
        <v>5191</v>
      </c>
    </row>
    <row r="82" spans="1:11" x14ac:dyDescent="0.2">
      <c r="A82" t="s">
        <v>5650</v>
      </c>
      <c r="B82" t="s">
        <v>5651</v>
      </c>
      <c r="C82" t="s">
        <v>5652</v>
      </c>
      <c r="E82" t="s">
        <v>5653</v>
      </c>
      <c r="F82" t="s">
        <v>5654</v>
      </c>
      <c r="G82" t="str">
        <f>"03.12.2019"</f>
        <v>03.12.2019</v>
      </c>
      <c r="H82" t="s">
        <v>5655</v>
      </c>
      <c r="I82" t="s">
        <v>5656</v>
      </c>
      <c r="J82" t="s">
        <v>5657</v>
      </c>
      <c r="K82" t="s">
        <v>19</v>
      </c>
    </row>
    <row r="83" spans="1:11" x14ac:dyDescent="0.2">
      <c r="A83" t="s">
        <v>5658</v>
      </c>
      <c r="B83" t="s">
        <v>5659</v>
      </c>
      <c r="C83" t="s">
        <v>5660</v>
      </c>
      <c r="D83" t="str">
        <f>"3111"</f>
        <v>3111</v>
      </c>
      <c r="E83" t="s">
        <v>5359</v>
      </c>
      <c r="F83" t="s">
        <v>5661</v>
      </c>
      <c r="G83" t="str">
        <f>"15.08.2000"</f>
        <v>15.08.2000</v>
      </c>
      <c r="H83" t="s">
        <v>5662</v>
      </c>
      <c r="I83" t="s">
        <v>5663</v>
      </c>
      <c r="J83" t="s">
        <v>5664</v>
      </c>
      <c r="K83" t="s">
        <v>19</v>
      </c>
    </row>
    <row r="84" spans="1:11" x14ac:dyDescent="0.2">
      <c r="A84" t="s">
        <v>5665</v>
      </c>
      <c r="B84" t="s">
        <v>5666</v>
      </c>
      <c r="C84" t="s">
        <v>5667</v>
      </c>
      <c r="D84" t="str">
        <f>"1371"</f>
        <v>1371</v>
      </c>
      <c r="E84" t="s">
        <v>5668</v>
      </c>
      <c r="F84" t="s">
        <v>5669</v>
      </c>
      <c r="G84" t="str">
        <f>"25.11.2009"</f>
        <v>25.11.2009</v>
      </c>
      <c r="H84" t="s">
        <v>5670</v>
      </c>
      <c r="I84" t="s">
        <v>5671</v>
      </c>
      <c r="J84" t="s">
        <v>5672</v>
      </c>
      <c r="K84" t="s">
        <v>19</v>
      </c>
    </row>
    <row r="85" spans="1:11" x14ac:dyDescent="0.2">
      <c r="A85" t="s">
        <v>5673</v>
      </c>
      <c r="B85" t="s">
        <v>5674</v>
      </c>
      <c r="C85" t="s">
        <v>5675</v>
      </c>
      <c r="D85" t="str">
        <f>"0166"</f>
        <v>0166</v>
      </c>
      <c r="E85" t="s">
        <v>5185</v>
      </c>
      <c r="F85" t="s">
        <v>5676</v>
      </c>
      <c r="G85" t="str">
        <f>"28.08.2017"</f>
        <v>28.08.2017</v>
      </c>
      <c r="H85" t="s">
        <v>5677</v>
      </c>
      <c r="I85" t="s">
        <v>5678</v>
      </c>
      <c r="J85" t="s">
        <v>5679</v>
      </c>
      <c r="K85" t="s">
        <v>19</v>
      </c>
    </row>
    <row r="86" spans="1:11" x14ac:dyDescent="0.2">
      <c r="A86" t="s">
        <v>5680</v>
      </c>
      <c r="B86" t="s">
        <v>5681</v>
      </c>
      <c r="C86" t="s">
        <v>5682</v>
      </c>
      <c r="D86" t="str">
        <f>"0153"</f>
        <v>0153</v>
      </c>
      <c r="E86" t="s">
        <v>5185</v>
      </c>
      <c r="F86" t="s">
        <v>5683</v>
      </c>
      <c r="G86" t="str">
        <f>"07.10.1996"</f>
        <v>07.10.1996</v>
      </c>
      <c r="H86" t="s">
        <v>5684</v>
      </c>
      <c r="I86" t="s">
        <v>5685</v>
      </c>
      <c r="J86" t="s">
        <v>5686</v>
      </c>
      <c r="K86" t="s">
        <v>19</v>
      </c>
    </row>
    <row r="87" spans="1:11" x14ac:dyDescent="0.2">
      <c r="A87" t="s">
        <v>5687</v>
      </c>
      <c r="B87" t="s">
        <v>5688</v>
      </c>
      <c r="C87" t="s">
        <v>5689</v>
      </c>
      <c r="D87" t="str">
        <f>"1783"</f>
        <v>1783</v>
      </c>
      <c r="E87" t="s">
        <v>5690</v>
      </c>
      <c r="F87" t="s">
        <v>5691</v>
      </c>
      <c r="G87" t="str">
        <f>"04.10.2012"</f>
        <v>04.10.2012</v>
      </c>
      <c r="H87" t="s">
        <v>5692</v>
      </c>
      <c r="I87" t="s">
        <v>5693</v>
      </c>
      <c r="J87" t="s">
        <v>5694</v>
      </c>
      <c r="K87" t="s">
        <v>19</v>
      </c>
    </row>
    <row r="88" spans="1:11" x14ac:dyDescent="0.2">
      <c r="A88" t="s">
        <v>5695</v>
      </c>
      <c r="B88" t="s">
        <v>5696</v>
      </c>
      <c r="C88" t="s">
        <v>5697</v>
      </c>
      <c r="D88" t="str">
        <f>"0153"</f>
        <v>0153</v>
      </c>
      <c r="E88" t="s">
        <v>5185</v>
      </c>
      <c r="F88" t="s">
        <v>5698</v>
      </c>
      <c r="G88" t="str">
        <f>"05.06.2015"</f>
        <v>05.06.2015</v>
      </c>
      <c r="H88" t="s">
        <v>5699</v>
      </c>
      <c r="I88" t="s">
        <v>5700</v>
      </c>
      <c r="J88" t="s">
        <v>5701</v>
      </c>
      <c r="K88" t="s">
        <v>5702</v>
      </c>
    </row>
    <row r="89" spans="1:11" x14ac:dyDescent="0.2">
      <c r="A89" t="s">
        <v>5703</v>
      </c>
      <c r="B89" t="s">
        <v>5704</v>
      </c>
      <c r="C89" t="s">
        <v>5705</v>
      </c>
      <c r="D89" t="str">
        <f>"0301"</f>
        <v>0301</v>
      </c>
      <c r="E89" t="s">
        <v>5185</v>
      </c>
      <c r="F89" t="s">
        <v>5706</v>
      </c>
      <c r="G89" t="str">
        <f>"27.08.2013"</f>
        <v>27.08.2013</v>
      </c>
      <c r="H89" t="s">
        <v>5707</v>
      </c>
      <c r="I89" t="s">
        <v>5708</v>
      </c>
      <c r="J89" t="s">
        <v>5709</v>
      </c>
    </row>
    <row r="90" spans="1:11" x14ac:dyDescent="0.2">
      <c r="A90" t="s">
        <v>5710</v>
      </c>
      <c r="B90" t="s">
        <v>5711</v>
      </c>
      <c r="C90" t="s">
        <v>5712</v>
      </c>
      <c r="D90" t="str">
        <f>"0162"</f>
        <v>0162</v>
      </c>
      <c r="E90" t="s">
        <v>5185</v>
      </c>
      <c r="F90" t="s">
        <v>5713</v>
      </c>
      <c r="G90" t="str">
        <f>"14.03.2014"</f>
        <v>14.03.2014</v>
      </c>
      <c r="H90" t="s">
        <v>5714</v>
      </c>
      <c r="I90" t="s">
        <v>5715</v>
      </c>
      <c r="J90" t="s">
        <v>5716</v>
      </c>
      <c r="K90" t="s">
        <v>5191</v>
      </c>
    </row>
    <row r="91" spans="1:11" x14ac:dyDescent="0.2">
      <c r="A91" t="s">
        <v>5717</v>
      </c>
      <c r="B91" t="s">
        <v>5718</v>
      </c>
      <c r="C91" t="s">
        <v>5719</v>
      </c>
      <c r="D91" t="str">
        <f>"0491"</f>
        <v>0491</v>
      </c>
      <c r="E91" t="s">
        <v>5185</v>
      </c>
      <c r="F91" t="s">
        <v>5720</v>
      </c>
      <c r="G91" t="str">
        <f>"15.05.2012"</f>
        <v>15.05.2012</v>
      </c>
      <c r="H91" t="s">
        <v>5721</v>
      </c>
      <c r="I91" t="s">
        <v>5722</v>
      </c>
      <c r="J91" t="s">
        <v>5723</v>
      </c>
      <c r="K91" t="s">
        <v>443</v>
      </c>
    </row>
    <row r="92" spans="1:11" x14ac:dyDescent="0.2">
      <c r="A92" t="s">
        <v>5724</v>
      </c>
      <c r="B92" t="s">
        <v>5725</v>
      </c>
      <c r="C92" t="s">
        <v>5726</v>
      </c>
      <c r="D92" t="str">
        <f>"1179"</f>
        <v>1179</v>
      </c>
      <c r="E92" t="s">
        <v>5185</v>
      </c>
      <c r="F92" t="s">
        <v>5727</v>
      </c>
      <c r="G92" t="str">
        <f>"09.10.2017"</f>
        <v>09.10.2017</v>
      </c>
      <c r="H92" t="s">
        <v>5728</v>
      </c>
      <c r="I92" t="s">
        <v>5729</v>
      </c>
      <c r="J92" t="s">
        <v>5730</v>
      </c>
      <c r="K92" t="s">
        <v>5297</v>
      </c>
    </row>
    <row r="93" spans="1:11" x14ac:dyDescent="0.2">
      <c r="A93" t="s">
        <v>5731</v>
      </c>
      <c r="B93" t="s">
        <v>5732</v>
      </c>
      <c r="C93" t="s">
        <v>5733</v>
      </c>
      <c r="E93" t="s">
        <v>5734</v>
      </c>
      <c r="F93" t="s">
        <v>5735</v>
      </c>
      <c r="G93" t="str">
        <f>"03.01.2018"</f>
        <v>03.01.2018</v>
      </c>
      <c r="H93" t="s">
        <v>5736</v>
      </c>
      <c r="I93" t="s">
        <v>5737</v>
      </c>
      <c r="J93" t="s">
        <v>5738</v>
      </c>
      <c r="K93" t="s">
        <v>28</v>
      </c>
    </row>
    <row r="94" spans="1:11" x14ac:dyDescent="0.2">
      <c r="A94" t="s">
        <v>5739</v>
      </c>
      <c r="B94" t="s">
        <v>5740</v>
      </c>
      <c r="C94" t="s">
        <v>5741</v>
      </c>
      <c r="D94" t="str">
        <f>"0250"</f>
        <v>0250</v>
      </c>
      <c r="E94" t="s">
        <v>5185</v>
      </c>
      <c r="F94" t="s">
        <v>5742</v>
      </c>
      <c r="G94" t="str">
        <f>"16.08.2017"</f>
        <v>16.08.2017</v>
      </c>
      <c r="H94" t="s">
        <v>5743</v>
      </c>
      <c r="I94" t="s">
        <v>5744</v>
      </c>
      <c r="J94" t="s">
        <v>5745</v>
      </c>
      <c r="K94" t="s">
        <v>5746</v>
      </c>
    </row>
    <row r="95" spans="1:11" x14ac:dyDescent="0.2">
      <c r="A95" t="s">
        <v>5747</v>
      </c>
      <c r="B95" t="s">
        <v>5748</v>
      </c>
      <c r="C95" t="s">
        <v>5366</v>
      </c>
      <c r="D95" t="str">
        <f>"4313"</f>
        <v>4313</v>
      </c>
      <c r="E95" t="s">
        <v>5367</v>
      </c>
      <c r="F95" t="s">
        <v>5749</v>
      </c>
      <c r="G95" t="str">
        <f>"07.05.2013"</f>
        <v>07.05.2013</v>
      </c>
      <c r="H95" t="s">
        <v>5750</v>
      </c>
      <c r="I95" t="s">
        <v>5751</v>
      </c>
      <c r="J95" t="s">
        <v>5752</v>
      </c>
    </row>
    <row r="96" spans="1:11" x14ac:dyDescent="0.2">
      <c r="A96" t="s">
        <v>5753</v>
      </c>
      <c r="B96" t="s">
        <v>5754</v>
      </c>
      <c r="C96" t="s">
        <v>5755</v>
      </c>
      <c r="D96" t="str">
        <f>"1325"</f>
        <v>1325</v>
      </c>
      <c r="E96" t="s">
        <v>5454</v>
      </c>
      <c r="F96" t="s">
        <v>5756</v>
      </c>
      <c r="G96" t="str">
        <f>"04.01.2016"</f>
        <v>04.01.2016</v>
      </c>
      <c r="H96" t="s">
        <v>5757</v>
      </c>
      <c r="I96" t="s">
        <v>5758</v>
      </c>
      <c r="J96" t="s">
        <v>5759</v>
      </c>
      <c r="K96" t="s">
        <v>5297</v>
      </c>
    </row>
    <row r="97" spans="1:11" x14ac:dyDescent="0.2">
      <c r="A97" t="s">
        <v>5760</v>
      </c>
      <c r="B97" t="s">
        <v>5761</v>
      </c>
      <c r="C97" t="s">
        <v>5762</v>
      </c>
      <c r="D97" t="str">
        <f>"0157"</f>
        <v>0157</v>
      </c>
      <c r="E97" t="s">
        <v>5185</v>
      </c>
      <c r="F97" t="s">
        <v>5763</v>
      </c>
      <c r="G97" t="str">
        <f>"25.07.1997"</f>
        <v>25.07.1997</v>
      </c>
      <c r="H97" t="s">
        <v>5764</v>
      </c>
      <c r="I97" t="s">
        <v>5765</v>
      </c>
      <c r="J97" t="s">
        <v>5766</v>
      </c>
      <c r="K97" t="s">
        <v>443</v>
      </c>
    </row>
    <row r="98" spans="1:11" x14ac:dyDescent="0.2">
      <c r="A98" t="s">
        <v>5767</v>
      </c>
      <c r="B98" t="s">
        <v>5768</v>
      </c>
      <c r="C98" t="s">
        <v>5769</v>
      </c>
      <c r="D98" t="str">
        <f>"1366"</f>
        <v>1366</v>
      </c>
      <c r="E98" t="s">
        <v>5454</v>
      </c>
      <c r="F98" t="s">
        <v>5770</v>
      </c>
      <c r="G98" t="str">
        <f>"02.04.2007"</f>
        <v>02.04.2007</v>
      </c>
      <c r="H98" t="s">
        <v>5771</v>
      </c>
      <c r="I98" t="s">
        <v>5772</v>
      </c>
      <c r="J98" t="s">
        <v>5773</v>
      </c>
      <c r="K98" t="s">
        <v>19</v>
      </c>
    </row>
    <row r="99" spans="1:11" x14ac:dyDescent="0.2">
      <c r="A99" t="s">
        <v>5774</v>
      </c>
      <c r="B99" t="s">
        <v>5775</v>
      </c>
      <c r="C99" t="s">
        <v>5776</v>
      </c>
      <c r="D99" t="str">
        <f>"0153"</f>
        <v>0153</v>
      </c>
      <c r="E99" t="s">
        <v>5185</v>
      </c>
      <c r="F99" t="s">
        <v>5777</v>
      </c>
      <c r="G99" t="str">
        <f>"15.02.2016"</f>
        <v>15.02.2016</v>
      </c>
      <c r="H99" t="s">
        <v>5778</v>
      </c>
      <c r="I99" t="s">
        <v>5779</v>
      </c>
      <c r="J99" t="s">
        <v>5780</v>
      </c>
      <c r="K99" t="s">
        <v>19</v>
      </c>
    </row>
    <row r="100" spans="1:11" x14ac:dyDescent="0.2">
      <c r="A100" t="s">
        <v>5781</v>
      </c>
      <c r="B100" t="s">
        <v>5782</v>
      </c>
      <c r="C100" t="s">
        <v>5783</v>
      </c>
      <c r="D100" t="str">
        <f>"1366"</f>
        <v>1366</v>
      </c>
      <c r="E100" t="s">
        <v>5454</v>
      </c>
      <c r="F100" t="s">
        <v>5784</v>
      </c>
      <c r="G100" t="str">
        <f>"27.04.1998"</f>
        <v>27.04.1998</v>
      </c>
      <c r="H100" t="s">
        <v>5785</v>
      </c>
      <c r="I100" t="s">
        <v>5786</v>
      </c>
      <c r="J100" t="s">
        <v>5787</v>
      </c>
      <c r="K100" t="s">
        <v>5297</v>
      </c>
    </row>
    <row r="101" spans="1:11" x14ac:dyDescent="0.2">
      <c r="A101" t="s">
        <v>5788</v>
      </c>
      <c r="B101" t="s">
        <v>5789</v>
      </c>
      <c r="C101" t="s">
        <v>5790</v>
      </c>
      <c r="D101" t="str">
        <f>"4306"</f>
        <v>4306</v>
      </c>
      <c r="E101" t="s">
        <v>5367</v>
      </c>
      <c r="F101" t="s">
        <v>5791</v>
      </c>
      <c r="G101" t="str">
        <f>"04.10.2017"</f>
        <v>04.10.2017</v>
      </c>
      <c r="H101" t="s">
        <v>5792</v>
      </c>
      <c r="I101" t="s">
        <v>5793</v>
      </c>
      <c r="J101" t="s">
        <v>5794</v>
      </c>
      <c r="K101" t="s">
        <v>19</v>
      </c>
    </row>
    <row r="102" spans="1:11" x14ac:dyDescent="0.2">
      <c r="A102" t="s">
        <v>5795</v>
      </c>
      <c r="B102" t="s">
        <v>5796</v>
      </c>
      <c r="C102" t="s">
        <v>5797</v>
      </c>
      <c r="D102" t="str">
        <f>"0694"</f>
        <v>0694</v>
      </c>
      <c r="E102" t="s">
        <v>5185</v>
      </c>
      <c r="F102" t="s">
        <v>5798</v>
      </c>
      <c r="G102" t="str">
        <f>"02.10.2017"</f>
        <v>02.10.2017</v>
      </c>
      <c r="H102" t="s">
        <v>5799</v>
      </c>
      <c r="I102" t="s">
        <v>5800</v>
      </c>
      <c r="J102" t="s">
        <v>5801</v>
      </c>
      <c r="K102" t="s">
        <v>5802</v>
      </c>
    </row>
    <row r="103" spans="1:11" x14ac:dyDescent="0.2">
      <c r="A103" t="s">
        <v>5803</v>
      </c>
      <c r="B103" t="s">
        <v>5804</v>
      </c>
      <c r="C103" t="s">
        <v>5805</v>
      </c>
      <c r="D103" t="str">
        <f>"0155"</f>
        <v>0155</v>
      </c>
      <c r="E103" t="s">
        <v>5185</v>
      </c>
      <c r="F103" t="s">
        <v>5806</v>
      </c>
      <c r="G103" t="str">
        <f>"29.12.2009"</f>
        <v>29.12.2009</v>
      </c>
      <c r="H103" t="s">
        <v>5807</v>
      </c>
      <c r="I103" t="s">
        <v>5808</v>
      </c>
      <c r="J103" t="s">
        <v>5809</v>
      </c>
      <c r="K103" t="s">
        <v>5297</v>
      </c>
    </row>
    <row r="104" spans="1:11" x14ac:dyDescent="0.2">
      <c r="A104" t="s">
        <v>5810</v>
      </c>
      <c r="B104" t="s">
        <v>5811</v>
      </c>
      <c r="C104" t="s">
        <v>5325</v>
      </c>
      <c r="D104" t="str">
        <f>"0278"</f>
        <v>0278</v>
      </c>
      <c r="E104" t="s">
        <v>5185</v>
      </c>
      <c r="F104" t="s">
        <v>5812</v>
      </c>
      <c r="G104" t="str">
        <f>"09.06.2015"</f>
        <v>09.06.2015</v>
      </c>
      <c r="H104" t="s">
        <v>5813</v>
      </c>
      <c r="I104" t="s">
        <v>5814</v>
      </c>
      <c r="J104" t="s">
        <v>5815</v>
      </c>
      <c r="K104" t="s">
        <v>5191</v>
      </c>
    </row>
    <row r="105" spans="1:11" x14ac:dyDescent="0.2">
      <c r="A105" t="s">
        <v>5816</v>
      </c>
      <c r="B105" t="s">
        <v>5817</v>
      </c>
      <c r="C105" t="s">
        <v>5818</v>
      </c>
      <c r="D105" t="str">
        <f>"7014"</f>
        <v>7014</v>
      </c>
      <c r="E105" t="s">
        <v>5284</v>
      </c>
      <c r="F105" t="s">
        <v>5819</v>
      </c>
      <c r="G105" t="str">
        <f>"19.12.2013"</f>
        <v>19.12.2013</v>
      </c>
      <c r="H105" t="s">
        <v>5820</v>
      </c>
      <c r="I105" t="s">
        <v>5821</v>
      </c>
      <c r="J105" t="s">
        <v>5822</v>
      </c>
      <c r="K105" t="s">
        <v>5297</v>
      </c>
    </row>
    <row r="106" spans="1:11" x14ac:dyDescent="0.2">
      <c r="A106" t="s">
        <v>5823</v>
      </c>
      <c r="B106" t="s">
        <v>5824</v>
      </c>
      <c r="C106" t="s">
        <v>5825</v>
      </c>
      <c r="D106" t="str">
        <f>"3118"</f>
        <v>3118</v>
      </c>
      <c r="E106" t="s">
        <v>5359</v>
      </c>
      <c r="F106" t="s">
        <v>5826</v>
      </c>
      <c r="G106" t="str">
        <f>"27.10.2000"</f>
        <v>27.10.2000</v>
      </c>
      <c r="H106" t="s">
        <v>5827</v>
      </c>
      <c r="I106" t="s">
        <v>5828</v>
      </c>
      <c r="J106" t="s">
        <v>5829</v>
      </c>
      <c r="K106" t="s">
        <v>5191</v>
      </c>
    </row>
    <row r="107" spans="1:11" x14ac:dyDescent="0.2">
      <c r="A107" t="s">
        <v>5830</v>
      </c>
      <c r="B107" t="s">
        <v>5831</v>
      </c>
      <c r="C107" t="s">
        <v>5832</v>
      </c>
      <c r="D107" t="str">
        <f>"0254"</f>
        <v>0254</v>
      </c>
      <c r="E107" t="s">
        <v>5185</v>
      </c>
      <c r="F107" t="s">
        <v>5833</v>
      </c>
      <c r="G107" t="str">
        <f>"24.02.2000"</f>
        <v>24.02.2000</v>
      </c>
      <c r="H107" t="s">
        <v>5834</v>
      </c>
      <c r="I107" t="s">
        <v>5835</v>
      </c>
      <c r="J107" t="s">
        <v>5836</v>
      </c>
      <c r="K107" t="s">
        <v>5837</v>
      </c>
    </row>
    <row r="108" spans="1:11" x14ac:dyDescent="0.2">
      <c r="A108" t="s">
        <v>5838</v>
      </c>
      <c r="B108" t="s">
        <v>5839</v>
      </c>
      <c r="C108" t="s">
        <v>5840</v>
      </c>
      <c r="D108" t="str">
        <f>"8012"</f>
        <v>8012</v>
      </c>
      <c r="E108" t="s">
        <v>5841</v>
      </c>
      <c r="F108" t="s">
        <v>5842</v>
      </c>
      <c r="G108" t="str">
        <f>"02.02.2011"</f>
        <v>02.02.2011</v>
      </c>
      <c r="H108" t="s">
        <v>5843</v>
      </c>
      <c r="I108" t="s">
        <v>5844</v>
      </c>
      <c r="J108" t="s">
        <v>5845</v>
      </c>
      <c r="K108" t="s">
        <v>5846</v>
      </c>
    </row>
    <row r="109" spans="1:11" x14ac:dyDescent="0.2">
      <c r="A109" t="s">
        <v>5847</v>
      </c>
      <c r="B109" t="s">
        <v>5848</v>
      </c>
      <c r="C109" t="s">
        <v>5849</v>
      </c>
      <c r="D109" t="str">
        <f>"0166"</f>
        <v>0166</v>
      </c>
      <c r="E109" t="s">
        <v>5185</v>
      </c>
      <c r="F109" t="s">
        <v>5850</v>
      </c>
      <c r="G109" t="str">
        <f>"28.01.2017"</f>
        <v>28.01.2017</v>
      </c>
      <c r="H109" t="s">
        <v>5851</v>
      </c>
      <c r="I109" t="s">
        <v>5852</v>
      </c>
      <c r="J109" t="s">
        <v>5853</v>
      </c>
      <c r="K109" t="s">
        <v>5297</v>
      </c>
    </row>
    <row r="110" spans="1:11" x14ac:dyDescent="0.2">
      <c r="A110" t="s">
        <v>5854</v>
      </c>
      <c r="B110" t="s">
        <v>5855</v>
      </c>
      <c r="C110" t="s">
        <v>5856</v>
      </c>
      <c r="D110" t="str">
        <f>"0166"</f>
        <v>0166</v>
      </c>
      <c r="E110" t="s">
        <v>5185</v>
      </c>
      <c r="F110" t="s">
        <v>5857</v>
      </c>
      <c r="G110" t="str">
        <f>"11.03.2014"</f>
        <v>11.03.2014</v>
      </c>
      <c r="H110" t="s">
        <v>5858</v>
      </c>
      <c r="I110" t="s">
        <v>5859</v>
      </c>
      <c r="J110" t="s">
        <v>5860</v>
      </c>
      <c r="K110" t="s">
        <v>19</v>
      </c>
    </row>
    <row r="111" spans="1:11" x14ac:dyDescent="0.2">
      <c r="A111" t="s">
        <v>5861</v>
      </c>
      <c r="B111" t="s">
        <v>5862</v>
      </c>
      <c r="C111" t="s">
        <v>5863</v>
      </c>
      <c r="D111" t="str">
        <f>"7560"</f>
        <v>7560</v>
      </c>
      <c r="E111" t="s">
        <v>5864</v>
      </c>
      <c r="F111" t="s">
        <v>5865</v>
      </c>
      <c r="G111" t="str">
        <f>"21.01.2017"</f>
        <v>21.01.2017</v>
      </c>
      <c r="H111" t="s">
        <v>5866</v>
      </c>
      <c r="I111" t="s">
        <v>5867</v>
      </c>
      <c r="J111" t="s">
        <v>5868</v>
      </c>
      <c r="K111" t="s">
        <v>19</v>
      </c>
    </row>
    <row r="112" spans="1:11" x14ac:dyDescent="0.2">
      <c r="A112" t="s">
        <v>5869</v>
      </c>
      <c r="B112" t="s">
        <v>5870</v>
      </c>
      <c r="C112" t="s">
        <v>5871</v>
      </c>
      <c r="D112" t="str">
        <f>"0484"</f>
        <v>0484</v>
      </c>
      <c r="E112" t="s">
        <v>5185</v>
      </c>
      <c r="F112" t="s">
        <v>5872</v>
      </c>
      <c r="G112" t="str">
        <f>"23.03.2017"</f>
        <v>23.03.2017</v>
      </c>
      <c r="H112" t="s">
        <v>5873</v>
      </c>
      <c r="I112" t="s">
        <v>5874</v>
      </c>
      <c r="J112" t="s">
        <v>5875</v>
      </c>
      <c r="K112" t="s">
        <v>5876</v>
      </c>
    </row>
    <row r="113" spans="1:11" x14ac:dyDescent="0.2">
      <c r="A113" t="s">
        <v>5877</v>
      </c>
      <c r="B113" t="s">
        <v>5878</v>
      </c>
      <c r="C113" t="s">
        <v>5879</v>
      </c>
      <c r="F113" t="s">
        <v>5880</v>
      </c>
      <c r="G113" t="str">
        <f>"16.05.2007"</f>
        <v>16.05.2007</v>
      </c>
      <c r="H113" t="s">
        <v>5881</v>
      </c>
      <c r="I113" t="s">
        <v>5882</v>
      </c>
      <c r="J113" t="s">
        <v>5883</v>
      </c>
      <c r="K113" t="s">
        <v>1767</v>
      </c>
    </row>
    <row r="114" spans="1:11" x14ac:dyDescent="0.2">
      <c r="A114" t="s">
        <v>5884</v>
      </c>
      <c r="B114" t="s">
        <v>5885</v>
      </c>
      <c r="C114" t="s">
        <v>5886</v>
      </c>
      <c r="D114" t="str">
        <f>"6004"</f>
        <v>6004</v>
      </c>
      <c r="E114" t="s">
        <v>5537</v>
      </c>
      <c r="F114" t="s">
        <v>5887</v>
      </c>
      <c r="G114" t="str">
        <f>"17.08.2017"</f>
        <v>17.08.2017</v>
      </c>
      <c r="H114" t="s">
        <v>5888</v>
      </c>
      <c r="I114" t="s">
        <v>5889</v>
      </c>
      <c r="J114" t="s">
        <v>5890</v>
      </c>
      <c r="K114" t="s">
        <v>5191</v>
      </c>
    </row>
    <row r="115" spans="1:11" x14ac:dyDescent="0.2">
      <c r="A115" t="s">
        <v>5891</v>
      </c>
      <c r="B115" t="s">
        <v>5892</v>
      </c>
      <c r="C115" t="s">
        <v>5893</v>
      </c>
      <c r="D115" t="str">
        <f>"0378"</f>
        <v>0378</v>
      </c>
      <c r="E115" t="s">
        <v>5185</v>
      </c>
      <c r="F115" t="s">
        <v>5894</v>
      </c>
      <c r="G115" t="str">
        <f>"04.09.2021"</f>
        <v>04.09.2021</v>
      </c>
      <c r="H115" t="s">
        <v>5895</v>
      </c>
      <c r="I115" t="s">
        <v>5896</v>
      </c>
      <c r="J115" t="s">
        <v>5897</v>
      </c>
      <c r="K115" t="s">
        <v>19</v>
      </c>
    </row>
    <row r="116" spans="1:11" x14ac:dyDescent="0.2">
      <c r="A116" t="s">
        <v>5898</v>
      </c>
      <c r="B116" t="s">
        <v>5899</v>
      </c>
      <c r="C116" t="s">
        <v>5900</v>
      </c>
      <c r="D116" t="str">
        <f>"0271"</f>
        <v>0271</v>
      </c>
      <c r="E116" t="s">
        <v>5185</v>
      </c>
      <c r="F116" t="s">
        <v>2447</v>
      </c>
      <c r="G116" t="str">
        <f>"25.11.2019"</f>
        <v>25.11.2019</v>
      </c>
      <c r="H116" t="s">
        <v>5901</v>
      </c>
      <c r="I116" t="s">
        <v>5902</v>
      </c>
      <c r="J116" t="s">
        <v>5903</v>
      </c>
      <c r="K116" t="s">
        <v>1894</v>
      </c>
    </row>
    <row r="117" spans="1:11" x14ac:dyDescent="0.2">
      <c r="A117" t="s">
        <v>5904</v>
      </c>
      <c r="B117" t="s">
        <v>5905</v>
      </c>
      <c r="C117" t="s">
        <v>5906</v>
      </c>
      <c r="D117" t="str">
        <f>"1481"</f>
        <v>1481</v>
      </c>
      <c r="E117" t="s">
        <v>5907</v>
      </c>
      <c r="F117" t="s">
        <v>5908</v>
      </c>
      <c r="G117" t="str">
        <f>"25.07.2017"</f>
        <v>25.07.2017</v>
      </c>
      <c r="H117" t="s">
        <v>5909</v>
      </c>
      <c r="I117" t="s">
        <v>5910</v>
      </c>
      <c r="J117" t="s">
        <v>5911</v>
      </c>
      <c r="K117" t="s">
        <v>19</v>
      </c>
    </row>
    <row r="118" spans="1:11" x14ac:dyDescent="0.2">
      <c r="A118" t="s">
        <v>5912</v>
      </c>
      <c r="B118" t="s">
        <v>5913</v>
      </c>
      <c r="C118" t="s">
        <v>5914</v>
      </c>
      <c r="D118" t="str">
        <f>"0250"</f>
        <v>0250</v>
      </c>
      <c r="E118" t="s">
        <v>5185</v>
      </c>
      <c r="F118" t="s">
        <v>5915</v>
      </c>
      <c r="G118" t="str">
        <f>"10.05.2017"</f>
        <v>10.05.2017</v>
      </c>
      <c r="H118" t="s">
        <v>5916</v>
      </c>
      <c r="I118" t="s">
        <v>5917</v>
      </c>
      <c r="J118" t="s">
        <v>5918</v>
      </c>
      <c r="K118" t="s">
        <v>19</v>
      </c>
    </row>
    <row r="119" spans="1:11" x14ac:dyDescent="0.2">
      <c r="A119" t="s">
        <v>5919</v>
      </c>
      <c r="B119" t="s">
        <v>5920</v>
      </c>
      <c r="C119" t="s">
        <v>5921</v>
      </c>
      <c r="D119" t="str">
        <f>"0766"</f>
        <v>0766</v>
      </c>
      <c r="E119" t="s">
        <v>5185</v>
      </c>
      <c r="F119" t="s">
        <v>5922</v>
      </c>
      <c r="G119" t="str">
        <f>"19.09.2019"</f>
        <v>19.09.2019</v>
      </c>
      <c r="H119" t="s">
        <v>5923</v>
      </c>
      <c r="I119" t="s">
        <v>5924</v>
      </c>
      <c r="J119" t="s">
        <v>5925</v>
      </c>
      <c r="K119" t="s">
        <v>5926</v>
      </c>
    </row>
    <row r="120" spans="1:11" x14ac:dyDescent="0.2">
      <c r="A120" t="s">
        <v>5927</v>
      </c>
      <c r="B120" t="s">
        <v>5928</v>
      </c>
      <c r="C120" t="s">
        <v>5929</v>
      </c>
      <c r="D120" t="str">
        <f>"0667"</f>
        <v>0667</v>
      </c>
      <c r="E120" t="s">
        <v>5185</v>
      </c>
      <c r="F120" t="s">
        <v>5930</v>
      </c>
      <c r="G120" t="str">
        <f>"03.05.2016"</f>
        <v>03.05.2016</v>
      </c>
      <c r="H120" t="s">
        <v>5931</v>
      </c>
      <c r="I120" t="s">
        <v>5932</v>
      </c>
      <c r="J120" t="s">
        <v>5933</v>
      </c>
      <c r="K120" t="s">
        <v>5297</v>
      </c>
    </row>
    <row r="121" spans="1:11" x14ac:dyDescent="0.2">
      <c r="A121" t="s">
        <v>5934</v>
      </c>
      <c r="B121" t="s">
        <v>5935</v>
      </c>
      <c r="C121" t="s">
        <v>5936</v>
      </c>
      <c r="D121" t="str">
        <f>"0201"</f>
        <v>0201</v>
      </c>
      <c r="E121" t="s">
        <v>5185</v>
      </c>
      <c r="F121" t="s">
        <v>5937</v>
      </c>
      <c r="G121" t="str">
        <f>"30.08.2001"</f>
        <v>30.08.2001</v>
      </c>
      <c r="H121" t="s">
        <v>5938</v>
      </c>
      <c r="I121" t="s">
        <v>5939</v>
      </c>
      <c r="J121" t="s">
        <v>5940</v>
      </c>
      <c r="K121" t="s">
        <v>19</v>
      </c>
    </row>
    <row r="122" spans="1:11" x14ac:dyDescent="0.2">
      <c r="A122" t="s">
        <v>5941</v>
      </c>
      <c r="B122" t="s">
        <v>5942</v>
      </c>
      <c r="C122" t="s">
        <v>5943</v>
      </c>
      <c r="D122" t="str">
        <f>"0160"</f>
        <v>0160</v>
      </c>
      <c r="E122" t="s">
        <v>5185</v>
      </c>
      <c r="F122" t="s">
        <v>5944</v>
      </c>
      <c r="G122" t="str">
        <f>"19.05.2000"</f>
        <v>19.05.2000</v>
      </c>
      <c r="H122" t="s">
        <v>5945</v>
      </c>
      <c r="I122" t="s">
        <v>5946</v>
      </c>
      <c r="J122" t="s">
        <v>5947</v>
      </c>
      <c r="K122" t="s">
        <v>5297</v>
      </c>
    </row>
    <row r="123" spans="1:11" x14ac:dyDescent="0.2">
      <c r="A123" t="s">
        <v>5948</v>
      </c>
      <c r="B123" t="s">
        <v>5949</v>
      </c>
      <c r="C123" t="s">
        <v>5950</v>
      </c>
      <c r="D123" t="str">
        <f>"1785"</f>
        <v>1785</v>
      </c>
      <c r="E123" t="s">
        <v>5690</v>
      </c>
      <c r="F123" t="s">
        <v>5951</v>
      </c>
      <c r="G123" t="str">
        <f>"27.03.2019"</f>
        <v>27.03.2019</v>
      </c>
      <c r="H123" t="s">
        <v>5952</v>
      </c>
      <c r="I123" t="s">
        <v>5953</v>
      </c>
      <c r="J123" t="s">
        <v>5954</v>
      </c>
      <c r="K123" t="s">
        <v>19</v>
      </c>
    </row>
    <row r="124" spans="1:11" x14ac:dyDescent="0.2">
      <c r="A124" t="s">
        <v>5955</v>
      </c>
      <c r="B124" t="s">
        <v>5956</v>
      </c>
      <c r="C124" t="s">
        <v>5957</v>
      </c>
      <c r="D124" t="str">
        <f>"6440"</f>
        <v>6440</v>
      </c>
      <c r="E124" t="s">
        <v>5958</v>
      </c>
      <c r="F124" t="s">
        <v>5959</v>
      </c>
      <c r="G124" t="str">
        <f>"27.04.2017"</f>
        <v>27.04.2017</v>
      </c>
      <c r="H124" t="s">
        <v>5960</v>
      </c>
      <c r="I124" t="s">
        <v>5961</v>
      </c>
      <c r="J124" t="s">
        <v>5962</v>
      </c>
      <c r="K124" t="s">
        <v>5963</v>
      </c>
    </row>
    <row r="125" spans="1:11" x14ac:dyDescent="0.2">
      <c r="A125" t="s">
        <v>5964</v>
      </c>
      <c r="B125" t="s">
        <v>5965</v>
      </c>
      <c r="C125" t="s">
        <v>5966</v>
      </c>
      <c r="D125" t="str">
        <f>"7424"</f>
        <v>7424</v>
      </c>
      <c r="E125" t="s">
        <v>5284</v>
      </c>
      <c r="F125" t="s">
        <v>5967</v>
      </c>
      <c r="G125" t="str">
        <f>"05.02.2004"</f>
        <v>05.02.2004</v>
      </c>
      <c r="H125" t="s">
        <v>5968</v>
      </c>
      <c r="I125" t="s">
        <v>5969</v>
      </c>
      <c r="J125" t="s">
        <v>5970</v>
      </c>
      <c r="K125" t="s">
        <v>19</v>
      </c>
    </row>
    <row r="126" spans="1:11" x14ac:dyDescent="0.2">
      <c r="A126" t="s">
        <v>5971</v>
      </c>
      <c r="B126" t="s">
        <v>5972</v>
      </c>
      <c r="C126" t="s">
        <v>5973</v>
      </c>
      <c r="D126" t="str">
        <f>"7030"</f>
        <v>7030</v>
      </c>
      <c r="E126" t="s">
        <v>5284</v>
      </c>
      <c r="F126" t="s">
        <v>5974</v>
      </c>
      <c r="G126" t="str">
        <f>"29.03.2001"</f>
        <v>29.03.2001</v>
      </c>
      <c r="H126" t="s">
        <v>5975</v>
      </c>
      <c r="I126" t="s">
        <v>5976</v>
      </c>
      <c r="J126" t="s">
        <v>5977</v>
      </c>
      <c r="K126" t="s">
        <v>5191</v>
      </c>
    </row>
    <row r="127" spans="1:11" x14ac:dyDescent="0.2">
      <c r="A127" t="s">
        <v>5978</v>
      </c>
      <c r="B127" t="s">
        <v>5979</v>
      </c>
      <c r="C127" t="s">
        <v>5980</v>
      </c>
      <c r="D127" t="str">
        <f>"1363"</f>
        <v>1363</v>
      </c>
      <c r="E127" t="s">
        <v>5981</v>
      </c>
      <c r="F127" t="s">
        <v>5982</v>
      </c>
      <c r="G127" t="str">
        <f>"03.02.2018"</f>
        <v>03.02.2018</v>
      </c>
      <c r="H127" t="s">
        <v>5983</v>
      </c>
      <c r="I127" t="s">
        <v>5984</v>
      </c>
      <c r="J127" t="s">
        <v>5985</v>
      </c>
      <c r="K127" t="s">
        <v>19</v>
      </c>
    </row>
    <row r="128" spans="1:11" x14ac:dyDescent="0.2">
      <c r="A128" t="s">
        <v>5986</v>
      </c>
      <c r="B128" t="s">
        <v>5987</v>
      </c>
      <c r="C128" t="s">
        <v>5988</v>
      </c>
      <c r="D128" t="str">
        <f>"1459"</f>
        <v>1459</v>
      </c>
      <c r="E128" t="s">
        <v>5989</v>
      </c>
      <c r="F128" t="s">
        <v>5990</v>
      </c>
      <c r="G128" t="str">
        <f>"12.02.2021"</f>
        <v>12.02.2021</v>
      </c>
      <c r="H128" t="s">
        <v>5991</v>
      </c>
      <c r="I128" t="s">
        <v>5992</v>
      </c>
      <c r="J128" t="s">
        <v>5993</v>
      </c>
      <c r="K128" t="s">
        <v>19</v>
      </c>
    </row>
    <row r="129" spans="1:11" x14ac:dyDescent="0.2">
      <c r="A129" t="s">
        <v>5994</v>
      </c>
      <c r="B129" t="s">
        <v>5995</v>
      </c>
      <c r="C129" t="s">
        <v>5996</v>
      </c>
      <c r="D129" t="str">
        <f>"0201"</f>
        <v>0201</v>
      </c>
      <c r="E129" t="s">
        <v>5185</v>
      </c>
      <c r="F129" t="s">
        <v>5997</v>
      </c>
      <c r="G129" t="str">
        <f>"28.04.2000"</f>
        <v>28.04.2000</v>
      </c>
      <c r="H129" t="s">
        <v>5998</v>
      </c>
      <c r="I129" t="s">
        <v>5999</v>
      </c>
      <c r="J129" t="s">
        <v>6000</v>
      </c>
      <c r="K129" t="s">
        <v>19</v>
      </c>
    </row>
    <row r="130" spans="1:11" x14ac:dyDescent="0.2">
      <c r="A130" t="s">
        <v>6001</v>
      </c>
      <c r="B130" t="s">
        <v>6002</v>
      </c>
      <c r="C130" t="s">
        <v>6003</v>
      </c>
      <c r="D130" t="str">
        <f>"4351"</f>
        <v>4351</v>
      </c>
      <c r="E130" t="s">
        <v>6004</v>
      </c>
      <c r="F130" t="s">
        <v>6005</v>
      </c>
      <c r="G130" t="str">
        <f>"06.11.2017"</f>
        <v>06.11.2017</v>
      </c>
      <c r="H130" t="s">
        <v>6006</v>
      </c>
      <c r="I130" t="s">
        <v>6007</v>
      </c>
      <c r="J130" t="s">
        <v>6008</v>
      </c>
      <c r="K130" t="s">
        <v>19</v>
      </c>
    </row>
    <row r="131" spans="1:11" x14ac:dyDescent="0.2">
      <c r="A131" t="s">
        <v>6009</v>
      </c>
      <c r="B131" t="s">
        <v>6010</v>
      </c>
      <c r="C131" t="s">
        <v>6011</v>
      </c>
      <c r="D131" t="str">
        <f>"0250"</f>
        <v>0250</v>
      </c>
      <c r="E131" t="s">
        <v>5185</v>
      </c>
      <c r="F131" t="s">
        <v>6012</v>
      </c>
      <c r="G131" t="str">
        <f>"01.04.2020"</f>
        <v>01.04.2020</v>
      </c>
      <c r="H131" t="s">
        <v>6013</v>
      </c>
      <c r="I131" t="s">
        <v>6014</v>
      </c>
      <c r="J131" t="s">
        <v>6015</v>
      </c>
      <c r="K131" t="s">
        <v>19</v>
      </c>
    </row>
    <row r="132" spans="1:11" x14ac:dyDescent="0.2">
      <c r="A132" t="s">
        <v>6016</v>
      </c>
      <c r="B132" t="s">
        <v>6017</v>
      </c>
      <c r="C132" t="s">
        <v>6018</v>
      </c>
      <c r="D132" t="str">
        <f>"0103"</f>
        <v>0103</v>
      </c>
      <c r="E132" t="s">
        <v>5185</v>
      </c>
      <c r="F132" t="s">
        <v>6019</v>
      </c>
      <c r="G132" t="str">
        <f>"23.05.2016"</f>
        <v>23.05.2016</v>
      </c>
      <c r="H132" t="s">
        <v>6020</v>
      </c>
      <c r="I132" t="s">
        <v>6021</v>
      </c>
      <c r="J132" t="s">
        <v>6022</v>
      </c>
      <c r="K132" t="s">
        <v>5297</v>
      </c>
    </row>
    <row r="133" spans="1:11" x14ac:dyDescent="0.2">
      <c r="A133" t="s">
        <v>6023</v>
      </c>
      <c r="B133" t="s">
        <v>6024</v>
      </c>
      <c r="C133" t="s">
        <v>6025</v>
      </c>
      <c r="D133" t="str">
        <f>"1373"</f>
        <v>1373</v>
      </c>
      <c r="E133" t="s">
        <v>5668</v>
      </c>
      <c r="F133" t="s">
        <v>6026</v>
      </c>
      <c r="G133" t="str">
        <f>"12.01.2000"</f>
        <v>12.01.2000</v>
      </c>
      <c r="H133" t="s">
        <v>6027</v>
      </c>
      <c r="I133" t="s">
        <v>6028</v>
      </c>
      <c r="J133" t="s">
        <v>6029</v>
      </c>
      <c r="K133" t="s">
        <v>5191</v>
      </c>
    </row>
    <row r="134" spans="1:11" x14ac:dyDescent="0.2">
      <c r="A134" t="s">
        <v>6030</v>
      </c>
      <c r="B134" t="s">
        <v>6031</v>
      </c>
      <c r="C134" t="s">
        <v>6032</v>
      </c>
      <c r="D134" t="str">
        <f>"4514"</f>
        <v>4514</v>
      </c>
      <c r="E134" t="s">
        <v>6033</v>
      </c>
      <c r="F134" t="s">
        <v>6034</v>
      </c>
      <c r="G134" t="str">
        <f>"25.03.2020"</f>
        <v>25.03.2020</v>
      </c>
      <c r="H134" t="s">
        <v>6035</v>
      </c>
      <c r="I134" t="s">
        <v>6036</v>
      </c>
      <c r="J134" t="s">
        <v>6037</v>
      </c>
      <c r="K134" t="s">
        <v>19</v>
      </c>
    </row>
    <row r="135" spans="1:11" x14ac:dyDescent="0.2">
      <c r="A135" t="s">
        <v>6038</v>
      </c>
      <c r="B135" t="s">
        <v>6039</v>
      </c>
      <c r="C135" t="s">
        <v>6040</v>
      </c>
      <c r="D135" t="str">
        <f>"1179"</f>
        <v>1179</v>
      </c>
      <c r="E135" t="s">
        <v>5185</v>
      </c>
      <c r="F135" t="s">
        <v>6041</v>
      </c>
      <c r="G135" t="str">
        <f>"29.08.2018"</f>
        <v>29.08.2018</v>
      </c>
      <c r="H135" t="s">
        <v>6042</v>
      </c>
      <c r="I135" t="s">
        <v>6043</v>
      </c>
      <c r="J135" t="s">
        <v>6044</v>
      </c>
      <c r="K135" t="s">
        <v>3422</v>
      </c>
    </row>
    <row r="136" spans="1:11" x14ac:dyDescent="0.2">
      <c r="A136" t="s">
        <v>6045</v>
      </c>
      <c r="B136" t="s">
        <v>6046</v>
      </c>
      <c r="C136" t="s">
        <v>6047</v>
      </c>
      <c r="D136" t="str">
        <f>"2019"</f>
        <v>2019</v>
      </c>
      <c r="E136" t="s">
        <v>6048</v>
      </c>
      <c r="F136" t="s">
        <v>6049</v>
      </c>
      <c r="G136" t="str">
        <f>"09.02.2006"</f>
        <v>09.02.2006</v>
      </c>
      <c r="H136" t="s">
        <v>6050</v>
      </c>
      <c r="I136" t="s">
        <v>6051</v>
      </c>
      <c r="J136" t="s">
        <v>6052</v>
      </c>
      <c r="K136" t="s">
        <v>6053</v>
      </c>
    </row>
    <row r="137" spans="1:11" x14ac:dyDescent="0.2">
      <c r="A137" t="s">
        <v>6054</v>
      </c>
      <c r="B137" t="s">
        <v>6055</v>
      </c>
      <c r="C137" t="s">
        <v>6056</v>
      </c>
      <c r="D137" t="str">
        <f>"5008"</f>
        <v>5008</v>
      </c>
      <c r="E137" t="s">
        <v>6057</v>
      </c>
      <c r="F137" t="s">
        <v>6058</v>
      </c>
      <c r="G137" t="str">
        <f>"04.02.2019"</f>
        <v>04.02.2019</v>
      </c>
      <c r="H137" t="s">
        <v>6059</v>
      </c>
      <c r="I137" t="s">
        <v>6060</v>
      </c>
      <c r="J137" t="s">
        <v>6061</v>
      </c>
      <c r="K137" t="s">
        <v>6062</v>
      </c>
    </row>
    <row r="138" spans="1:11" x14ac:dyDescent="0.2">
      <c r="A138" t="s">
        <v>6063</v>
      </c>
      <c r="B138" t="s">
        <v>6064</v>
      </c>
      <c r="C138" t="s">
        <v>6065</v>
      </c>
      <c r="D138" t="str">
        <f>"0158"</f>
        <v>0158</v>
      </c>
      <c r="E138" t="s">
        <v>5185</v>
      </c>
      <c r="F138" t="s">
        <v>6066</v>
      </c>
      <c r="G138" t="str">
        <f>"21.04.2010"</f>
        <v>21.04.2010</v>
      </c>
      <c r="H138" t="s">
        <v>6067</v>
      </c>
      <c r="I138" t="s">
        <v>6068</v>
      </c>
      <c r="J138" t="s">
        <v>6069</v>
      </c>
      <c r="K138" t="s">
        <v>19</v>
      </c>
    </row>
    <row r="139" spans="1:11" x14ac:dyDescent="0.2">
      <c r="A139" t="s">
        <v>6070</v>
      </c>
      <c r="B139" t="s">
        <v>6071</v>
      </c>
      <c r="C139" t="s">
        <v>6072</v>
      </c>
      <c r="D139" t="str">
        <f>"1453"</f>
        <v>1453</v>
      </c>
      <c r="E139" t="s">
        <v>6073</v>
      </c>
      <c r="F139" t="s">
        <v>6074</v>
      </c>
      <c r="G139" t="str">
        <f>"27.05.2020"</f>
        <v>27.05.2020</v>
      </c>
      <c r="H139" t="s">
        <v>6075</v>
      </c>
      <c r="I139" t="s">
        <v>6076</v>
      </c>
      <c r="J139" t="s">
        <v>6077</v>
      </c>
      <c r="K139" t="s">
        <v>5297</v>
      </c>
    </row>
    <row r="140" spans="1:11" x14ac:dyDescent="0.2">
      <c r="A140" t="s">
        <v>6078</v>
      </c>
      <c r="B140" t="s">
        <v>6079</v>
      </c>
      <c r="C140" t="s">
        <v>6080</v>
      </c>
      <c r="D140" t="str">
        <f>"2819"</f>
        <v>2819</v>
      </c>
      <c r="E140" t="s">
        <v>5484</v>
      </c>
      <c r="F140" t="s">
        <v>6081</v>
      </c>
      <c r="G140" t="str">
        <f>"24.07.2015"</f>
        <v>24.07.2015</v>
      </c>
      <c r="H140" t="s">
        <v>6082</v>
      </c>
      <c r="I140" t="s">
        <v>6083</v>
      </c>
      <c r="J140" t="s">
        <v>6084</v>
      </c>
      <c r="K140" t="s">
        <v>19</v>
      </c>
    </row>
    <row r="141" spans="1:11" x14ac:dyDescent="0.2">
      <c r="A141" t="s">
        <v>6085</v>
      </c>
      <c r="B141" t="s">
        <v>6086</v>
      </c>
      <c r="C141" t="s">
        <v>6087</v>
      </c>
      <c r="D141" t="str">
        <f>"0179"</f>
        <v>0179</v>
      </c>
      <c r="E141" t="s">
        <v>5185</v>
      </c>
      <c r="F141" t="s">
        <v>6088</v>
      </c>
      <c r="G141" t="str">
        <f>"16.10.2001"</f>
        <v>16.10.2001</v>
      </c>
      <c r="H141" t="s">
        <v>7016</v>
      </c>
      <c r="I141" t="s">
        <v>6089</v>
      </c>
      <c r="J141" t="s">
        <v>6090</v>
      </c>
      <c r="K141" t="s">
        <v>6091</v>
      </c>
    </row>
    <row r="142" spans="1:11" x14ac:dyDescent="0.2">
      <c r="A142" t="s">
        <v>6092</v>
      </c>
      <c r="B142" t="s">
        <v>6093</v>
      </c>
      <c r="C142" t="s">
        <v>6094</v>
      </c>
      <c r="D142" t="str">
        <f>"2750"</f>
        <v>2750</v>
      </c>
      <c r="E142" t="s">
        <v>6095</v>
      </c>
      <c r="F142" t="s">
        <v>5249</v>
      </c>
      <c r="G142" t="str">
        <f>"05.05.2017"</f>
        <v>05.05.2017</v>
      </c>
      <c r="H142" t="s">
        <v>5250</v>
      </c>
      <c r="I142" t="s">
        <v>6096</v>
      </c>
      <c r="J142" t="s">
        <v>5252</v>
      </c>
      <c r="K142" t="s">
        <v>19</v>
      </c>
    </row>
    <row r="143" spans="1:11" x14ac:dyDescent="0.2">
      <c r="A143" t="s">
        <v>6097</v>
      </c>
      <c r="B143" t="s">
        <v>6098</v>
      </c>
      <c r="C143" t="s">
        <v>6099</v>
      </c>
      <c r="D143" t="str">
        <f>"7043"</f>
        <v>7043</v>
      </c>
      <c r="E143" t="s">
        <v>5284</v>
      </c>
      <c r="F143" t="s">
        <v>2580</v>
      </c>
      <c r="G143" t="str">
        <f>"17.03.2017"</f>
        <v>17.03.2017</v>
      </c>
      <c r="H143" t="s">
        <v>6100</v>
      </c>
      <c r="I143" t="s">
        <v>6101</v>
      </c>
      <c r="J143" t="s">
        <v>6102</v>
      </c>
      <c r="K143" t="s">
        <v>1894</v>
      </c>
    </row>
    <row r="144" spans="1:11" x14ac:dyDescent="0.2">
      <c r="A144" t="s">
        <v>6103</v>
      </c>
      <c r="B144" t="s">
        <v>6104</v>
      </c>
      <c r="C144" t="s">
        <v>6105</v>
      </c>
      <c r="D144" t="str">
        <f>"0166"</f>
        <v>0166</v>
      </c>
      <c r="E144" t="s">
        <v>5185</v>
      </c>
      <c r="F144" t="s">
        <v>6106</v>
      </c>
      <c r="G144" t="str">
        <f>"11.09.2017"</f>
        <v>11.09.2017</v>
      </c>
      <c r="H144" t="s">
        <v>6107</v>
      </c>
      <c r="I144" t="s">
        <v>6108</v>
      </c>
      <c r="J144" t="s">
        <v>6109</v>
      </c>
      <c r="K144" t="s">
        <v>5297</v>
      </c>
    </row>
    <row r="145" spans="1:11" x14ac:dyDescent="0.2">
      <c r="A145" t="s">
        <v>6110</v>
      </c>
      <c r="B145" t="s">
        <v>6111</v>
      </c>
      <c r="C145" t="s">
        <v>6112</v>
      </c>
      <c r="D145" t="str">
        <f>"0667"</f>
        <v>0667</v>
      </c>
      <c r="E145" t="s">
        <v>5185</v>
      </c>
      <c r="F145" t="s">
        <v>6114</v>
      </c>
      <c r="G145" t="str">
        <f>"27.06.2000"</f>
        <v>27.06.2000</v>
      </c>
      <c r="H145" t="s">
        <v>6115</v>
      </c>
      <c r="I145" t="s">
        <v>6116</v>
      </c>
      <c r="J145" t="s">
        <v>6117</v>
      </c>
      <c r="K145" t="s">
        <v>6118</v>
      </c>
    </row>
    <row r="146" spans="1:11" x14ac:dyDescent="0.2">
      <c r="A146" t="s">
        <v>6119</v>
      </c>
      <c r="B146" t="s">
        <v>6120</v>
      </c>
      <c r="C146" t="s">
        <v>6113</v>
      </c>
      <c r="D146" t="str">
        <f>"1364"</f>
        <v>1364</v>
      </c>
      <c r="E146" t="s">
        <v>5292</v>
      </c>
      <c r="F146" t="s">
        <v>6121</v>
      </c>
      <c r="G146" t="str">
        <f>"07.09.2017"</f>
        <v>07.09.2017</v>
      </c>
      <c r="H146" t="s">
        <v>6122</v>
      </c>
      <c r="I146" t="s">
        <v>6123</v>
      </c>
      <c r="J146" t="s">
        <v>6124</v>
      </c>
      <c r="K146" t="s">
        <v>19</v>
      </c>
    </row>
    <row r="147" spans="1:11" x14ac:dyDescent="0.2">
      <c r="A147" t="s">
        <v>6125</v>
      </c>
      <c r="B147" t="s">
        <v>6126</v>
      </c>
      <c r="C147" t="s">
        <v>6056</v>
      </c>
      <c r="D147" t="str">
        <f>"5008"</f>
        <v>5008</v>
      </c>
      <c r="E147" t="s">
        <v>6057</v>
      </c>
      <c r="F147" t="s">
        <v>6127</v>
      </c>
      <c r="G147" t="str">
        <f>"04.02.2019"</f>
        <v>04.02.2019</v>
      </c>
      <c r="H147" t="s">
        <v>6128</v>
      </c>
      <c r="I147" t="s">
        <v>6129</v>
      </c>
      <c r="J147" t="s">
        <v>6130</v>
      </c>
      <c r="K147" t="s">
        <v>19</v>
      </c>
    </row>
    <row r="148" spans="1:11" x14ac:dyDescent="0.2">
      <c r="A148" t="s">
        <v>6131</v>
      </c>
      <c r="B148" t="s">
        <v>6132</v>
      </c>
      <c r="C148" t="s">
        <v>6133</v>
      </c>
      <c r="D148" t="str">
        <f>"3208"</f>
        <v>3208</v>
      </c>
      <c r="E148" t="s">
        <v>5210</v>
      </c>
      <c r="F148" t="s">
        <v>6134</v>
      </c>
      <c r="G148" t="str">
        <f>"08.12.2008"</f>
        <v>08.12.2008</v>
      </c>
      <c r="H148" t="s">
        <v>6135</v>
      </c>
      <c r="I148" t="s">
        <v>6136</v>
      </c>
      <c r="J148" t="s">
        <v>6137</v>
      </c>
      <c r="K148" t="s">
        <v>6138</v>
      </c>
    </row>
    <row r="149" spans="1:11" x14ac:dyDescent="0.2">
      <c r="A149" t="s">
        <v>6139</v>
      </c>
      <c r="B149" t="s">
        <v>6140</v>
      </c>
      <c r="C149" t="s">
        <v>6141</v>
      </c>
      <c r="D149" t="str">
        <f>"0159"</f>
        <v>0159</v>
      </c>
      <c r="E149" t="s">
        <v>5185</v>
      </c>
      <c r="F149" t="s">
        <v>6142</v>
      </c>
      <c r="G149" t="str">
        <f>"25.03.2015"</f>
        <v>25.03.2015</v>
      </c>
      <c r="H149" t="s">
        <v>6143</v>
      </c>
      <c r="I149" t="s">
        <v>6144</v>
      </c>
      <c r="J149" t="s">
        <v>6145</v>
      </c>
      <c r="K149" t="s">
        <v>5297</v>
      </c>
    </row>
    <row r="150" spans="1:11" x14ac:dyDescent="0.2">
      <c r="A150" t="s">
        <v>6146</v>
      </c>
      <c r="B150" t="s">
        <v>6147</v>
      </c>
      <c r="C150" t="s">
        <v>5582</v>
      </c>
      <c r="D150" t="str">
        <f>"0167"</f>
        <v>0167</v>
      </c>
      <c r="E150" t="s">
        <v>5185</v>
      </c>
      <c r="F150" t="s">
        <v>6148</v>
      </c>
      <c r="G150" t="str">
        <f>"05.04.2011"</f>
        <v>05.04.2011</v>
      </c>
      <c r="H150" t="s">
        <v>6149</v>
      </c>
      <c r="I150" t="s">
        <v>6150</v>
      </c>
      <c r="J150" t="s">
        <v>6151</v>
      </c>
      <c r="K150" t="s">
        <v>5421</v>
      </c>
    </row>
    <row r="151" spans="1:11" x14ac:dyDescent="0.2">
      <c r="A151" t="s">
        <v>6152</v>
      </c>
      <c r="B151" t="s">
        <v>6153</v>
      </c>
      <c r="C151" t="s">
        <v>6154</v>
      </c>
      <c r="D151" t="str">
        <f>"0579"</f>
        <v>0579</v>
      </c>
      <c r="E151" t="s">
        <v>5185</v>
      </c>
      <c r="F151" t="s">
        <v>6155</v>
      </c>
      <c r="G151" t="str">
        <f>"28.06.2016"</f>
        <v>28.06.2016</v>
      </c>
      <c r="H151" t="s">
        <v>6156</v>
      </c>
      <c r="I151" t="s">
        <v>6157</v>
      </c>
      <c r="J151" t="s">
        <v>6158</v>
      </c>
      <c r="K151" t="s">
        <v>19</v>
      </c>
    </row>
    <row r="152" spans="1:11" x14ac:dyDescent="0.2">
      <c r="A152" t="s">
        <v>6159</v>
      </c>
      <c r="B152" t="s">
        <v>6160</v>
      </c>
      <c r="C152" t="s">
        <v>6161</v>
      </c>
      <c r="D152" t="str">
        <f>"1502"</f>
        <v>1502</v>
      </c>
      <c r="E152" t="s">
        <v>6162</v>
      </c>
      <c r="F152" t="s">
        <v>6163</v>
      </c>
      <c r="G152" t="str">
        <f>"02.12.2014"</f>
        <v>02.12.2014</v>
      </c>
      <c r="H152" t="s">
        <v>6164</v>
      </c>
      <c r="I152" t="s">
        <v>6165</v>
      </c>
      <c r="J152" t="s">
        <v>6166</v>
      </c>
    </row>
    <row r="153" spans="1:11" x14ac:dyDescent="0.2">
      <c r="A153" t="s">
        <v>6167</v>
      </c>
      <c r="B153" t="s">
        <v>6168</v>
      </c>
      <c r="C153" t="s">
        <v>5582</v>
      </c>
      <c r="D153">
        <v>167</v>
      </c>
      <c r="E153" t="s">
        <v>5185</v>
      </c>
      <c r="F153" t="s">
        <v>6148</v>
      </c>
      <c r="G153" t="s">
        <v>7017</v>
      </c>
      <c r="H153" t="s">
        <v>6169</v>
      </c>
      <c r="I153" t="s">
        <v>6170</v>
      </c>
      <c r="J153" t="s">
        <v>6151</v>
      </c>
      <c r="K153" t="s">
        <v>5421</v>
      </c>
    </row>
    <row r="154" spans="1:11" x14ac:dyDescent="0.2">
      <c r="A154" t="s">
        <v>6171</v>
      </c>
      <c r="B154" t="s">
        <v>6172</v>
      </c>
      <c r="C154" t="s">
        <v>6173</v>
      </c>
      <c r="D154" t="str">
        <f>"0204"</f>
        <v>0204</v>
      </c>
      <c r="E154" t="s">
        <v>5185</v>
      </c>
      <c r="F154" t="s">
        <v>2775</v>
      </c>
      <c r="G154" t="str">
        <f>"16.01.1997"</f>
        <v>16.01.1997</v>
      </c>
      <c r="H154" t="s">
        <v>6174</v>
      </c>
      <c r="I154" t="s">
        <v>6175</v>
      </c>
      <c r="J154" t="s">
        <v>6176</v>
      </c>
      <c r="K154" t="s">
        <v>6177</v>
      </c>
    </row>
    <row r="155" spans="1:11" x14ac:dyDescent="0.2">
      <c r="A155" t="s">
        <v>6178</v>
      </c>
      <c r="B155" t="s">
        <v>6179</v>
      </c>
      <c r="C155" t="s">
        <v>6180</v>
      </c>
      <c r="D155" t="str">
        <f>"1067"</f>
        <v>1067</v>
      </c>
      <c r="E155" t="s">
        <v>5185</v>
      </c>
      <c r="F155" t="s">
        <v>6181</v>
      </c>
      <c r="G155" t="str">
        <f>"19.02.1995"</f>
        <v>19.02.1995</v>
      </c>
      <c r="H155" t="s">
        <v>6182</v>
      </c>
      <c r="I155" t="s">
        <v>6183</v>
      </c>
      <c r="J155" t="s">
        <v>6184</v>
      </c>
      <c r="K155" t="s">
        <v>19</v>
      </c>
    </row>
    <row r="156" spans="1:11" x14ac:dyDescent="0.2">
      <c r="A156" t="s">
        <v>6185</v>
      </c>
      <c r="B156" t="s">
        <v>6186</v>
      </c>
      <c r="C156" t="s">
        <v>6187</v>
      </c>
      <c r="D156" t="str">
        <f>"4079"</f>
        <v>4079</v>
      </c>
      <c r="E156" t="s">
        <v>5317</v>
      </c>
      <c r="F156" t="s">
        <v>6188</v>
      </c>
      <c r="G156" t="str">
        <f>"19.02.1995"</f>
        <v>19.02.1995</v>
      </c>
      <c r="H156" t="s">
        <v>6189</v>
      </c>
      <c r="I156" t="s">
        <v>6190</v>
      </c>
      <c r="J156" t="s">
        <v>6191</v>
      </c>
      <c r="K156" t="s">
        <v>6192</v>
      </c>
    </row>
    <row r="157" spans="1:11" x14ac:dyDescent="0.2">
      <c r="A157" t="s">
        <v>6193</v>
      </c>
      <c r="B157" t="s">
        <v>6194</v>
      </c>
      <c r="C157" t="s">
        <v>6195</v>
      </c>
      <c r="D157" t="str">
        <f>"0122"</f>
        <v>0122</v>
      </c>
      <c r="E157" t="s">
        <v>5185</v>
      </c>
      <c r="F157" t="s">
        <v>6196</v>
      </c>
      <c r="G157" t="str">
        <f>"04.08.2011"</f>
        <v>04.08.2011</v>
      </c>
      <c r="H157" t="s">
        <v>6197</v>
      </c>
      <c r="I157" t="s">
        <v>6198</v>
      </c>
      <c r="J157" t="s">
        <v>6199</v>
      </c>
      <c r="K157" t="s">
        <v>5445</v>
      </c>
    </row>
    <row r="158" spans="1:11" x14ac:dyDescent="0.2">
      <c r="A158" t="s">
        <v>6200</v>
      </c>
      <c r="B158" t="s">
        <v>6201</v>
      </c>
      <c r="C158" t="s">
        <v>6202</v>
      </c>
      <c r="D158" t="str">
        <f>"6801"</f>
        <v>6801</v>
      </c>
      <c r="E158" t="s">
        <v>6203</v>
      </c>
      <c r="F158" t="s">
        <v>6204</v>
      </c>
      <c r="G158" t="str">
        <f>"04.07.2001"</f>
        <v>04.07.2001</v>
      </c>
      <c r="H158" t="s">
        <v>6205</v>
      </c>
      <c r="I158" t="s">
        <v>6206</v>
      </c>
      <c r="J158" t="s">
        <v>6207</v>
      </c>
      <c r="K158" t="s">
        <v>19</v>
      </c>
    </row>
    <row r="159" spans="1:11" x14ac:dyDescent="0.2">
      <c r="A159" t="s">
        <v>6208</v>
      </c>
      <c r="B159" t="s">
        <v>6209</v>
      </c>
      <c r="C159" t="s">
        <v>6210</v>
      </c>
      <c r="D159" t="str">
        <f>"0130"</f>
        <v>0130</v>
      </c>
      <c r="E159" t="s">
        <v>5185</v>
      </c>
      <c r="F159" t="s">
        <v>6211</v>
      </c>
      <c r="G159" t="str">
        <f>"12.03.1995"</f>
        <v>12.03.1995</v>
      </c>
      <c r="H159" t="s">
        <v>6212</v>
      </c>
      <c r="I159" t="s">
        <v>6213</v>
      </c>
      <c r="J159" t="s">
        <v>6214</v>
      </c>
      <c r="K159" t="s">
        <v>5191</v>
      </c>
    </row>
    <row r="160" spans="1:11" x14ac:dyDescent="0.2">
      <c r="A160" t="s">
        <v>6215</v>
      </c>
      <c r="B160" t="s">
        <v>6216</v>
      </c>
      <c r="C160" t="s">
        <v>6217</v>
      </c>
      <c r="D160" t="str">
        <f>"0663"</f>
        <v>0663</v>
      </c>
      <c r="E160" t="s">
        <v>5185</v>
      </c>
      <c r="F160" t="s">
        <v>6218</v>
      </c>
      <c r="G160" t="str">
        <f>"25.03.2008"</f>
        <v>25.03.2008</v>
      </c>
      <c r="H160" t="s">
        <v>6219</v>
      </c>
      <c r="I160" t="s">
        <v>6220</v>
      </c>
      <c r="J160" t="s">
        <v>6221</v>
      </c>
      <c r="K160" t="s">
        <v>19</v>
      </c>
    </row>
    <row r="161" spans="1:11" x14ac:dyDescent="0.2">
      <c r="A161" t="s">
        <v>6222</v>
      </c>
      <c r="B161" t="s">
        <v>6223</v>
      </c>
      <c r="C161" t="s">
        <v>6224</v>
      </c>
      <c r="D161" t="str">
        <f>"1369"</f>
        <v>1369</v>
      </c>
      <c r="E161" t="s">
        <v>6225</v>
      </c>
      <c r="F161" t="s">
        <v>6226</v>
      </c>
      <c r="G161" t="str">
        <f>"25.01.2019"</f>
        <v>25.01.2019</v>
      </c>
      <c r="H161" t="s">
        <v>6227</v>
      </c>
      <c r="I161" t="s">
        <v>6228</v>
      </c>
      <c r="J161" t="s">
        <v>6229</v>
      </c>
      <c r="K161" t="s">
        <v>19</v>
      </c>
    </row>
    <row r="162" spans="1:11" x14ac:dyDescent="0.2">
      <c r="A162" t="s">
        <v>6230</v>
      </c>
      <c r="B162" t="s">
        <v>6231</v>
      </c>
      <c r="C162" t="s">
        <v>6232</v>
      </c>
      <c r="D162" t="str">
        <f>"4313"</f>
        <v>4313</v>
      </c>
      <c r="E162" t="s">
        <v>5367</v>
      </c>
      <c r="F162" t="s">
        <v>6233</v>
      </c>
      <c r="G162" t="str">
        <f>"19.02.1995"</f>
        <v>19.02.1995</v>
      </c>
      <c r="H162" t="s">
        <v>6234</v>
      </c>
      <c r="I162" t="s">
        <v>6235</v>
      </c>
      <c r="J162" t="s">
        <v>6236</v>
      </c>
      <c r="K162" t="s">
        <v>19</v>
      </c>
    </row>
    <row r="163" spans="1:11" x14ac:dyDescent="0.2">
      <c r="A163" t="s">
        <v>6237</v>
      </c>
      <c r="B163" t="s">
        <v>6238</v>
      </c>
      <c r="C163" t="s">
        <v>6239</v>
      </c>
      <c r="D163" t="str">
        <f>"1472"</f>
        <v>1472</v>
      </c>
      <c r="E163" t="s">
        <v>6240</v>
      </c>
      <c r="F163" t="s">
        <v>6241</v>
      </c>
      <c r="G163" t="str">
        <f>"02.06.2016"</f>
        <v>02.06.2016</v>
      </c>
      <c r="H163" t="s">
        <v>6242</v>
      </c>
      <c r="I163" t="s">
        <v>6243</v>
      </c>
      <c r="J163" t="s">
        <v>6244</v>
      </c>
      <c r="K163" t="s">
        <v>19</v>
      </c>
    </row>
    <row r="164" spans="1:11" x14ac:dyDescent="0.2">
      <c r="A164" t="s">
        <v>6245</v>
      </c>
      <c r="B164" t="s">
        <v>6246</v>
      </c>
      <c r="C164" t="s">
        <v>6247</v>
      </c>
      <c r="D164" t="str">
        <f>"0158"</f>
        <v>0158</v>
      </c>
      <c r="E164" t="s">
        <v>5185</v>
      </c>
      <c r="F164" t="s">
        <v>6248</v>
      </c>
      <c r="G164" t="str">
        <f>"26.09.2017"</f>
        <v>26.09.2017</v>
      </c>
      <c r="H164" t="s">
        <v>6249</v>
      </c>
      <c r="I164" t="s">
        <v>6250</v>
      </c>
      <c r="J164" t="s">
        <v>6251</v>
      </c>
      <c r="K164" t="s">
        <v>5297</v>
      </c>
    </row>
    <row r="165" spans="1:11" x14ac:dyDescent="0.2">
      <c r="A165" t="s">
        <v>6252</v>
      </c>
      <c r="B165" t="s">
        <v>6253</v>
      </c>
      <c r="C165" t="s">
        <v>6254</v>
      </c>
      <c r="D165" t="str">
        <f>"3912"</f>
        <v>3912</v>
      </c>
      <c r="E165" t="s">
        <v>6255</v>
      </c>
      <c r="F165" t="s">
        <v>6256</v>
      </c>
      <c r="G165" t="str">
        <f>"05.02.2016"</f>
        <v>05.02.2016</v>
      </c>
      <c r="H165" t="s">
        <v>6257</v>
      </c>
      <c r="I165" t="s">
        <v>6258</v>
      </c>
      <c r="J165" t="s">
        <v>6259</v>
      </c>
      <c r="K165" t="s">
        <v>19</v>
      </c>
    </row>
    <row r="166" spans="1:11" x14ac:dyDescent="0.2">
      <c r="A166" t="s">
        <v>6260</v>
      </c>
      <c r="B166" t="s">
        <v>6261</v>
      </c>
      <c r="C166" t="s">
        <v>5603</v>
      </c>
      <c r="D166" t="str">
        <f>"0160"</f>
        <v>0160</v>
      </c>
      <c r="E166" t="s">
        <v>5185</v>
      </c>
      <c r="F166" t="s">
        <v>6262</v>
      </c>
      <c r="G166" t="str">
        <f>"27.01.2020"</f>
        <v>27.01.2020</v>
      </c>
      <c r="H166" t="s">
        <v>6263</v>
      </c>
      <c r="I166" t="s">
        <v>6264</v>
      </c>
      <c r="J166" t="s">
        <v>6265</v>
      </c>
      <c r="K166" t="s">
        <v>5191</v>
      </c>
    </row>
    <row r="167" spans="1:11" x14ac:dyDescent="0.2">
      <c r="A167" t="s">
        <v>6266</v>
      </c>
      <c r="B167" t="s">
        <v>6267</v>
      </c>
      <c r="C167" t="s">
        <v>6268</v>
      </c>
      <c r="D167" t="str">
        <f>"5109"</f>
        <v>5109</v>
      </c>
      <c r="E167" t="s">
        <v>6269</v>
      </c>
      <c r="F167" t="s">
        <v>6270</v>
      </c>
      <c r="G167" t="str">
        <f>"12.09.2019"</f>
        <v>12.09.2019</v>
      </c>
      <c r="H167" t="s">
        <v>6271</v>
      </c>
      <c r="I167" t="s">
        <v>6272</v>
      </c>
      <c r="J167" t="s">
        <v>6273</v>
      </c>
      <c r="K167" t="s">
        <v>5191</v>
      </c>
    </row>
    <row r="168" spans="1:11" x14ac:dyDescent="0.2">
      <c r="A168" t="s">
        <v>6274</v>
      </c>
      <c r="B168" t="s">
        <v>6275</v>
      </c>
      <c r="C168" t="s">
        <v>6276</v>
      </c>
      <c r="D168" t="str">
        <f>"0155"</f>
        <v>0155</v>
      </c>
      <c r="E168" t="s">
        <v>5185</v>
      </c>
      <c r="F168" t="s">
        <v>6277</v>
      </c>
      <c r="G168" t="str">
        <f>"15.12.2016"</f>
        <v>15.12.2016</v>
      </c>
      <c r="H168" t="s">
        <v>6278</v>
      </c>
      <c r="I168" t="s">
        <v>6279</v>
      </c>
      <c r="J168" t="s">
        <v>6280</v>
      </c>
      <c r="K168" t="s">
        <v>5191</v>
      </c>
    </row>
    <row r="169" spans="1:11" x14ac:dyDescent="0.2">
      <c r="A169" t="s">
        <v>6281</v>
      </c>
      <c r="B169" t="s">
        <v>6282</v>
      </c>
      <c r="C169" t="s">
        <v>6283</v>
      </c>
      <c r="D169" t="str">
        <f>"0154"</f>
        <v>0154</v>
      </c>
      <c r="E169" t="s">
        <v>5185</v>
      </c>
      <c r="F169" t="s">
        <v>6284</v>
      </c>
      <c r="G169" t="str">
        <f>"23.02.2000"</f>
        <v>23.02.2000</v>
      </c>
      <c r="H169" t="s">
        <v>6285</v>
      </c>
      <c r="I169" t="s">
        <v>6286</v>
      </c>
      <c r="J169" t="s">
        <v>6287</v>
      </c>
      <c r="K169" t="s">
        <v>19</v>
      </c>
    </row>
    <row r="170" spans="1:11" x14ac:dyDescent="0.2">
      <c r="A170" t="s">
        <v>6288</v>
      </c>
      <c r="B170" t="s">
        <v>6289</v>
      </c>
      <c r="C170" t="s">
        <v>6290</v>
      </c>
      <c r="D170" t="str">
        <f>"7055"</f>
        <v>7055</v>
      </c>
      <c r="E170" t="s">
        <v>6291</v>
      </c>
      <c r="F170" t="s">
        <v>6292</v>
      </c>
      <c r="G170" t="str">
        <f>"19.06.2015"</f>
        <v>19.06.2015</v>
      </c>
      <c r="H170" t="s">
        <v>6293</v>
      </c>
      <c r="I170" t="s">
        <v>6294</v>
      </c>
      <c r="J170" t="s">
        <v>6295</v>
      </c>
      <c r="K170" t="s">
        <v>19</v>
      </c>
    </row>
    <row r="171" spans="1:11" x14ac:dyDescent="0.2">
      <c r="A171" t="s">
        <v>6296</v>
      </c>
      <c r="B171" t="s">
        <v>6297</v>
      </c>
      <c r="C171" t="s">
        <v>6298</v>
      </c>
      <c r="D171" t="str">
        <f>"0178"</f>
        <v>0178</v>
      </c>
      <c r="E171" t="s">
        <v>5185</v>
      </c>
      <c r="F171" t="s">
        <v>6299</v>
      </c>
      <c r="G171" t="str">
        <f>"23.03.2011"</f>
        <v>23.03.2011</v>
      </c>
      <c r="H171" t="s">
        <v>6300</v>
      </c>
      <c r="I171" t="s">
        <v>6301</v>
      </c>
      <c r="J171" t="s">
        <v>6302</v>
      </c>
      <c r="K171" t="s">
        <v>19</v>
      </c>
    </row>
    <row r="172" spans="1:11" x14ac:dyDescent="0.2">
      <c r="A172" t="s">
        <v>6303</v>
      </c>
      <c r="B172" t="s">
        <v>6304</v>
      </c>
      <c r="C172" t="s">
        <v>6305</v>
      </c>
      <c r="D172" t="str">
        <f>"0277"</f>
        <v>0277</v>
      </c>
      <c r="E172" t="s">
        <v>5185</v>
      </c>
      <c r="F172" t="s">
        <v>6306</v>
      </c>
      <c r="G172" t="str">
        <f>"14.12.2019"</f>
        <v>14.12.2019</v>
      </c>
      <c r="H172" t="s">
        <v>6307</v>
      </c>
      <c r="I172" t="s">
        <v>6308</v>
      </c>
      <c r="J172" t="s">
        <v>6309</v>
      </c>
      <c r="K172" t="s">
        <v>5090</v>
      </c>
    </row>
    <row r="173" spans="1:11" x14ac:dyDescent="0.2">
      <c r="A173" t="s">
        <v>6310</v>
      </c>
      <c r="B173" t="s">
        <v>6311</v>
      </c>
      <c r="C173" t="s">
        <v>2750</v>
      </c>
      <c r="E173" t="s">
        <v>6312</v>
      </c>
      <c r="F173" t="s">
        <v>6313</v>
      </c>
      <c r="G173" t="str">
        <f>"31.07.2018"</f>
        <v>31.07.2018</v>
      </c>
      <c r="H173" t="s">
        <v>6314</v>
      </c>
      <c r="I173" t="s">
        <v>6315</v>
      </c>
      <c r="J173" t="s">
        <v>6316</v>
      </c>
      <c r="K173" t="s">
        <v>19</v>
      </c>
    </row>
    <row r="174" spans="1:11" x14ac:dyDescent="0.2">
      <c r="A174" t="s">
        <v>6317</v>
      </c>
      <c r="B174" t="s">
        <v>6318</v>
      </c>
      <c r="C174" t="s">
        <v>5269</v>
      </c>
      <c r="D174" t="str">
        <f>"0349"</f>
        <v>0349</v>
      </c>
      <c r="E174" t="s">
        <v>5185</v>
      </c>
      <c r="F174" t="s">
        <v>6319</v>
      </c>
      <c r="G174" t="str">
        <f>"03.04.2020"</f>
        <v>03.04.2020</v>
      </c>
      <c r="H174" t="s">
        <v>6320</v>
      </c>
      <c r="I174" t="s">
        <v>6321</v>
      </c>
      <c r="J174" t="s">
        <v>6322</v>
      </c>
      <c r="K174" t="s">
        <v>5191</v>
      </c>
    </row>
    <row r="175" spans="1:11" x14ac:dyDescent="0.2">
      <c r="A175" t="s">
        <v>6323</v>
      </c>
      <c r="B175" t="s">
        <v>6324</v>
      </c>
      <c r="C175" t="s">
        <v>6325</v>
      </c>
      <c r="D175" t="str">
        <f>"5113"</f>
        <v>5113</v>
      </c>
      <c r="E175" t="s">
        <v>6326</v>
      </c>
      <c r="F175" t="s">
        <v>6327</v>
      </c>
      <c r="G175" t="str">
        <f>"21.05.2019"</f>
        <v>21.05.2019</v>
      </c>
      <c r="H175" t="s">
        <v>6328</v>
      </c>
      <c r="I175" t="s">
        <v>6329</v>
      </c>
      <c r="J175" t="s">
        <v>6330</v>
      </c>
      <c r="K175" t="s">
        <v>19</v>
      </c>
    </row>
    <row r="176" spans="1:11" x14ac:dyDescent="0.2">
      <c r="A176" t="s">
        <v>6331</v>
      </c>
      <c r="B176" t="s">
        <v>6332</v>
      </c>
      <c r="C176" t="s">
        <v>6333</v>
      </c>
      <c r="D176" t="str">
        <f>"3241"</f>
        <v>3241</v>
      </c>
      <c r="E176" t="s">
        <v>5210</v>
      </c>
      <c r="F176" t="s">
        <v>6334</v>
      </c>
      <c r="G176" t="str">
        <f>"07.10.2015"</f>
        <v>07.10.2015</v>
      </c>
      <c r="H176" t="s">
        <v>6335</v>
      </c>
      <c r="I176" t="s">
        <v>6336</v>
      </c>
      <c r="J176" t="s">
        <v>6337</v>
      </c>
      <c r="K176" t="s">
        <v>161</v>
      </c>
    </row>
    <row r="177" spans="1:11" x14ac:dyDescent="0.2">
      <c r="A177" t="s">
        <v>6338</v>
      </c>
      <c r="B177" t="s">
        <v>6339</v>
      </c>
      <c r="C177" t="s">
        <v>6340</v>
      </c>
      <c r="D177" t="str">
        <f>"0160"</f>
        <v>0160</v>
      </c>
      <c r="E177" t="s">
        <v>5185</v>
      </c>
      <c r="F177" t="s">
        <v>6341</v>
      </c>
      <c r="G177" t="str">
        <f>"07.04.2017"</f>
        <v>07.04.2017</v>
      </c>
      <c r="H177" t="s">
        <v>6342</v>
      </c>
      <c r="I177" t="s">
        <v>6343</v>
      </c>
      <c r="J177" t="s">
        <v>6344</v>
      </c>
      <c r="K177" t="s">
        <v>19</v>
      </c>
    </row>
    <row r="178" spans="1:11" x14ac:dyDescent="0.2">
      <c r="A178" t="s">
        <v>6345</v>
      </c>
      <c r="B178" t="s">
        <v>6346</v>
      </c>
      <c r="C178" t="s">
        <v>6347</v>
      </c>
      <c r="D178" t="str">
        <f>"5006"</f>
        <v>5006</v>
      </c>
      <c r="E178" t="s">
        <v>6057</v>
      </c>
      <c r="F178" t="s">
        <v>6348</v>
      </c>
      <c r="G178" t="str">
        <f>"11.01.2016"</f>
        <v>11.01.2016</v>
      </c>
      <c r="H178" t="s">
        <v>6349</v>
      </c>
      <c r="I178" t="s">
        <v>6350</v>
      </c>
      <c r="J178" t="s">
        <v>6351</v>
      </c>
      <c r="K178" t="s">
        <v>19</v>
      </c>
    </row>
    <row r="179" spans="1:11" x14ac:dyDescent="0.2">
      <c r="A179" t="s">
        <v>6352</v>
      </c>
      <c r="B179" t="s">
        <v>6353</v>
      </c>
      <c r="C179" t="s">
        <v>6354</v>
      </c>
      <c r="D179" t="str">
        <f>"4313"</f>
        <v>4313</v>
      </c>
      <c r="E179" t="s">
        <v>5367</v>
      </c>
      <c r="F179" t="s">
        <v>6355</v>
      </c>
      <c r="G179" t="str">
        <f>"29.11.2019"</f>
        <v>29.11.2019</v>
      </c>
      <c r="H179" t="s">
        <v>5478</v>
      </c>
      <c r="I179" t="s">
        <v>6356</v>
      </c>
      <c r="J179" t="s">
        <v>6357</v>
      </c>
      <c r="K179" t="s">
        <v>5191</v>
      </c>
    </row>
    <row r="180" spans="1:11" x14ac:dyDescent="0.2">
      <c r="A180" t="s">
        <v>6358</v>
      </c>
      <c r="B180" t="s">
        <v>6359</v>
      </c>
      <c r="C180" t="s">
        <v>6354</v>
      </c>
      <c r="D180" t="str">
        <f>"4313"</f>
        <v>4313</v>
      </c>
      <c r="E180" t="s">
        <v>5367</v>
      </c>
      <c r="F180" t="s">
        <v>6360</v>
      </c>
      <c r="G180" t="str">
        <f>"03.01.2000"</f>
        <v>03.01.2000</v>
      </c>
      <c r="H180" t="s">
        <v>6361</v>
      </c>
      <c r="I180" t="s">
        <v>6362</v>
      </c>
      <c r="J180" t="s">
        <v>6363</v>
      </c>
      <c r="K180" t="s">
        <v>5191</v>
      </c>
    </row>
    <row r="181" spans="1:11" x14ac:dyDescent="0.2">
      <c r="A181" t="s">
        <v>6364</v>
      </c>
      <c r="B181" t="s">
        <v>6365</v>
      </c>
      <c r="C181" t="s">
        <v>6366</v>
      </c>
      <c r="D181" t="str">
        <f>"1366"</f>
        <v>1366</v>
      </c>
      <c r="E181" t="s">
        <v>5454</v>
      </c>
      <c r="F181" t="s">
        <v>6367</v>
      </c>
      <c r="G181" t="str">
        <f>"04.12.2017"</f>
        <v>04.12.2017</v>
      </c>
      <c r="H181" t="s">
        <v>6368</v>
      </c>
      <c r="I181" t="s">
        <v>6369</v>
      </c>
      <c r="J181" t="s">
        <v>6370</v>
      </c>
      <c r="K181" t="s">
        <v>5191</v>
      </c>
    </row>
    <row r="182" spans="1:11" x14ac:dyDescent="0.2">
      <c r="A182" t="s">
        <v>6371</v>
      </c>
      <c r="B182" t="s">
        <v>6372</v>
      </c>
      <c r="C182" t="s">
        <v>6373</v>
      </c>
      <c r="D182" t="str">
        <f>"0213"</f>
        <v>0213</v>
      </c>
      <c r="E182" t="s">
        <v>5185</v>
      </c>
      <c r="F182" t="s">
        <v>6374</v>
      </c>
      <c r="G182" t="str">
        <f>"08.06.1995"</f>
        <v>08.06.1995</v>
      </c>
      <c r="H182" t="s">
        <v>6375</v>
      </c>
      <c r="I182" t="s">
        <v>6376</v>
      </c>
      <c r="J182" t="s">
        <v>6377</v>
      </c>
      <c r="K182" t="s">
        <v>19</v>
      </c>
    </row>
    <row r="183" spans="1:11" x14ac:dyDescent="0.2">
      <c r="A183" t="s">
        <v>6378</v>
      </c>
      <c r="B183" t="s">
        <v>6379</v>
      </c>
      <c r="C183" t="s">
        <v>6380</v>
      </c>
      <c r="D183" t="str">
        <f>"5146"</f>
        <v>5146</v>
      </c>
      <c r="E183" t="s">
        <v>6381</v>
      </c>
      <c r="F183" t="s">
        <v>6382</v>
      </c>
      <c r="G183" t="str">
        <f>"10.02.2007"</f>
        <v>10.02.2007</v>
      </c>
      <c r="H183" t="s">
        <v>6383</v>
      </c>
      <c r="I183" t="s">
        <v>6384</v>
      </c>
      <c r="J183" t="s">
        <v>6385</v>
      </c>
      <c r="K183" t="s">
        <v>19</v>
      </c>
    </row>
    <row r="184" spans="1:11" x14ac:dyDescent="0.2">
      <c r="A184" t="s">
        <v>6386</v>
      </c>
      <c r="B184" t="s">
        <v>6387</v>
      </c>
      <c r="C184" t="s">
        <v>6388</v>
      </c>
      <c r="D184" t="str">
        <f>"0132"</f>
        <v>0132</v>
      </c>
      <c r="E184" t="s">
        <v>5185</v>
      </c>
      <c r="F184" t="s">
        <v>6389</v>
      </c>
      <c r="G184" t="str">
        <f>"06.02.2019"</f>
        <v>06.02.2019</v>
      </c>
      <c r="H184" t="s">
        <v>6390</v>
      </c>
      <c r="I184" t="s">
        <v>6391</v>
      </c>
      <c r="J184" t="s">
        <v>6392</v>
      </c>
      <c r="K184" t="s">
        <v>19</v>
      </c>
    </row>
    <row r="185" spans="1:11" x14ac:dyDescent="0.2">
      <c r="A185" t="s">
        <v>6393</v>
      </c>
      <c r="B185" t="s">
        <v>6394</v>
      </c>
      <c r="C185" t="s">
        <v>6395</v>
      </c>
      <c r="D185" t="str">
        <f>"0663"</f>
        <v>0663</v>
      </c>
      <c r="E185" t="s">
        <v>5185</v>
      </c>
      <c r="F185" t="s">
        <v>6396</v>
      </c>
      <c r="G185" t="str">
        <f>"30.03.2016"</f>
        <v>30.03.2016</v>
      </c>
      <c r="H185" t="s">
        <v>6397</v>
      </c>
      <c r="I185" t="s">
        <v>6398</v>
      </c>
      <c r="J185" t="s">
        <v>6399</v>
      </c>
      <c r="K185" t="s">
        <v>19</v>
      </c>
    </row>
    <row r="186" spans="1:11" x14ac:dyDescent="0.2">
      <c r="A186" t="s">
        <v>6400</v>
      </c>
      <c r="B186" t="s">
        <v>6401</v>
      </c>
      <c r="C186" t="s">
        <v>6402</v>
      </c>
      <c r="D186" t="str">
        <f>"0115"</f>
        <v>0115</v>
      </c>
      <c r="E186" t="s">
        <v>5185</v>
      </c>
      <c r="F186" t="s">
        <v>4545</v>
      </c>
      <c r="G186" t="str">
        <f>"20.03.2010"</f>
        <v>20.03.2010</v>
      </c>
      <c r="H186" t="s">
        <v>6404</v>
      </c>
      <c r="I186" t="s">
        <v>6405</v>
      </c>
      <c r="J186" t="s">
        <v>6406</v>
      </c>
      <c r="K186" t="s">
        <v>6407</v>
      </c>
    </row>
    <row r="187" spans="1:11" x14ac:dyDescent="0.2">
      <c r="A187" t="s">
        <v>6408</v>
      </c>
      <c r="B187" t="s">
        <v>6409</v>
      </c>
      <c r="C187" t="s">
        <v>6410</v>
      </c>
      <c r="D187" t="str">
        <f>"7416"</f>
        <v>7416</v>
      </c>
      <c r="E187" t="s">
        <v>5284</v>
      </c>
      <c r="F187" t="s">
        <v>6411</v>
      </c>
      <c r="G187" t="str">
        <f>"19.12.2000"</f>
        <v>19.12.2000</v>
      </c>
      <c r="H187" t="s">
        <v>6412</v>
      </c>
      <c r="I187" t="s">
        <v>6413</v>
      </c>
      <c r="J187" t="s">
        <v>6414</v>
      </c>
      <c r="K187" t="s">
        <v>5191</v>
      </c>
    </row>
    <row r="188" spans="1:11" x14ac:dyDescent="0.2">
      <c r="A188" t="s">
        <v>6415</v>
      </c>
      <c r="B188" t="s">
        <v>6416</v>
      </c>
      <c r="C188" t="s">
        <v>6417</v>
      </c>
      <c r="D188" t="str">
        <f>"0355"</f>
        <v>0355</v>
      </c>
      <c r="E188" t="s">
        <v>5185</v>
      </c>
      <c r="F188" t="s">
        <v>6418</v>
      </c>
      <c r="G188" t="str">
        <f>"19.06.2017"</f>
        <v>19.06.2017</v>
      </c>
      <c r="H188" t="s">
        <v>6419</v>
      </c>
      <c r="I188" t="s">
        <v>6420</v>
      </c>
      <c r="J188" t="s">
        <v>6421</v>
      </c>
      <c r="K188" t="s">
        <v>5746</v>
      </c>
    </row>
    <row r="189" spans="1:11" x14ac:dyDescent="0.2">
      <c r="A189" t="s">
        <v>6422</v>
      </c>
      <c r="B189" t="s">
        <v>6423</v>
      </c>
      <c r="C189" t="s">
        <v>6424</v>
      </c>
      <c r="D189" t="str">
        <f>"0152"</f>
        <v>0152</v>
      </c>
      <c r="E189" t="s">
        <v>5185</v>
      </c>
      <c r="F189" t="s">
        <v>6425</v>
      </c>
      <c r="G189" t="str">
        <f>"15.08.2013"</f>
        <v>15.08.2013</v>
      </c>
      <c r="H189" t="s">
        <v>6426</v>
      </c>
      <c r="I189" t="s">
        <v>6427</v>
      </c>
      <c r="J189" t="s">
        <v>6428</v>
      </c>
      <c r="K189" t="s">
        <v>6429</v>
      </c>
    </row>
    <row r="190" spans="1:11" x14ac:dyDescent="0.2">
      <c r="A190" t="s">
        <v>6430</v>
      </c>
      <c r="B190" t="s">
        <v>6431</v>
      </c>
      <c r="C190" t="s">
        <v>6432</v>
      </c>
      <c r="D190" t="str">
        <f>"0251"</f>
        <v>0251</v>
      </c>
      <c r="E190" t="s">
        <v>5185</v>
      </c>
      <c r="F190" t="s">
        <v>6433</v>
      </c>
      <c r="G190" t="str">
        <f>"29.09.2010"</f>
        <v>29.09.2010</v>
      </c>
      <c r="H190" t="s">
        <v>5714</v>
      </c>
      <c r="I190" t="s">
        <v>6434</v>
      </c>
      <c r="J190" t="s">
        <v>6435</v>
      </c>
      <c r="K190" t="s">
        <v>5191</v>
      </c>
    </row>
    <row r="191" spans="1:11" x14ac:dyDescent="0.2">
      <c r="A191" t="s">
        <v>6436</v>
      </c>
      <c r="B191" t="s">
        <v>6437</v>
      </c>
      <c r="C191" t="s">
        <v>6438</v>
      </c>
      <c r="D191" t="str">
        <f>"5004"</f>
        <v>5004</v>
      </c>
      <c r="E191" t="s">
        <v>6057</v>
      </c>
      <c r="F191" t="s">
        <v>6439</v>
      </c>
      <c r="G191" t="str">
        <f>"05.01.2017"</f>
        <v>05.01.2017</v>
      </c>
      <c r="H191" t="s">
        <v>6440</v>
      </c>
      <c r="I191" t="s">
        <v>6441</v>
      </c>
      <c r="J191" t="s">
        <v>6442</v>
      </c>
      <c r="K191" t="s">
        <v>19</v>
      </c>
    </row>
    <row r="192" spans="1:11" x14ac:dyDescent="0.2">
      <c r="A192" t="s">
        <v>6443</v>
      </c>
      <c r="B192" t="s">
        <v>6444</v>
      </c>
      <c r="C192" t="s">
        <v>6445</v>
      </c>
      <c r="D192" t="str">
        <f>"0507"</f>
        <v>0507</v>
      </c>
      <c r="E192" t="s">
        <v>5185</v>
      </c>
      <c r="F192" t="s">
        <v>6446</v>
      </c>
      <c r="G192" t="str">
        <f>"09.05.2012"</f>
        <v>09.05.2012</v>
      </c>
      <c r="H192" t="s">
        <v>6447</v>
      </c>
      <c r="I192" t="s">
        <v>6448</v>
      </c>
      <c r="J192" t="s">
        <v>6449</v>
      </c>
      <c r="K192" t="s">
        <v>5421</v>
      </c>
    </row>
    <row r="193" spans="1:11" x14ac:dyDescent="0.2">
      <c r="A193" t="s">
        <v>6450</v>
      </c>
      <c r="B193" t="s">
        <v>6451</v>
      </c>
      <c r="C193" t="s">
        <v>6452</v>
      </c>
      <c r="D193" t="str">
        <f>"3209"</f>
        <v>3209</v>
      </c>
      <c r="E193" t="s">
        <v>5210</v>
      </c>
      <c r="F193" t="s">
        <v>6453</v>
      </c>
      <c r="G193" t="str">
        <f>"20.03.2020"</f>
        <v>20.03.2020</v>
      </c>
      <c r="H193" t="s">
        <v>6454</v>
      </c>
      <c r="I193" t="s">
        <v>6455</v>
      </c>
      <c r="J193" t="s">
        <v>6456</v>
      </c>
      <c r="K193" t="s">
        <v>5191</v>
      </c>
    </row>
    <row r="194" spans="1:11" x14ac:dyDescent="0.2">
      <c r="A194" t="s">
        <v>6457</v>
      </c>
      <c r="B194" t="s">
        <v>6458</v>
      </c>
      <c r="C194" t="s">
        <v>6333</v>
      </c>
      <c r="D194" t="str">
        <f>"3241"</f>
        <v>3241</v>
      </c>
      <c r="E194" t="s">
        <v>5210</v>
      </c>
      <c r="F194" t="s">
        <v>6459</v>
      </c>
      <c r="G194" t="str">
        <f>"04.05.2017"</f>
        <v>04.05.2017</v>
      </c>
      <c r="H194" t="s">
        <v>6460</v>
      </c>
      <c r="I194" t="s">
        <v>6461</v>
      </c>
      <c r="J194" t="s">
        <v>6462</v>
      </c>
      <c r="K194" t="s">
        <v>5191</v>
      </c>
    </row>
    <row r="195" spans="1:11" x14ac:dyDescent="0.2">
      <c r="A195" t="s">
        <v>6463</v>
      </c>
      <c r="B195" t="s">
        <v>6464</v>
      </c>
      <c r="C195" t="s">
        <v>6465</v>
      </c>
      <c r="D195" t="str">
        <f>"5221"</f>
        <v>5221</v>
      </c>
      <c r="E195" t="s">
        <v>5575</v>
      </c>
      <c r="F195" t="s">
        <v>6466</v>
      </c>
      <c r="G195" t="str">
        <f>"05.11.2013"</f>
        <v>05.11.2013</v>
      </c>
      <c r="H195" t="s">
        <v>6467</v>
      </c>
      <c r="I195" t="s">
        <v>6468</v>
      </c>
      <c r="J195" t="s">
        <v>6469</v>
      </c>
      <c r="K195" t="s">
        <v>3422</v>
      </c>
    </row>
    <row r="196" spans="1:11" x14ac:dyDescent="0.2">
      <c r="A196" t="s">
        <v>6470</v>
      </c>
      <c r="B196" t="s">
        <v>6471</v>
      </c>
      <c r="C196" t="s">
        <v>6472</v>
      </c>
      <c r="D196" t="str">
        <f>"0150"</f>
        <v>0150</v>
      </c>
      <c r="E196" t="s">
        <v>5185</v>
      </c>
      <c r="F196" t="s">
        <v>6473</v>
      </c>
      <c r="G196" t="str">
        <f>"04.11.1999"</f>
        <v>04.11.1999</v>
      </c>
      <c r="H196" t="s">
        <v>6474</v>
      </c>
      <c r="I196" t="s">
        <v>6475</v>
      </c>
      <c r="J196" t="s">
        <v>6476</v>
      </c>
      <c r="K196" t="s">
        <v>5191</v>
      </c>
    </row>
    <row r="197" spans="1:11" x14ac:dyDescent="0.2">
      <c r="A197" t="s">
        <v>6477</v>
      </c>
      <c r="B197" t="s">
        <v>6478</v>
      </c>
      <c r="C197" t="s">
        <v>5186</v>
      </c>
      <c r="D197" t="str">
        <f>"0154"</f>
        <v>0154</v>
      </c>
      <c r="E197" t="s">
        <v>5185</v>
      </c>
      <c r="F197" t="s">
        <v>1334</v>
      </c>
      <c r="G197" t="str">
        <f>"04.07.2018"</f>
        <v>04.07.2018</v>
      </c>
      <c r="H197" t="s">
        <v>6479</v>
      </c>
      <c r="I197" t="s">
        <v>6480</v>
      </c>
      <c r="J197" t="s">
        <v>6481</v>
      </c>
      <c r="K197" t="s">
        <v>6482</v>
      </c>
    </row>
    <row r="198" spans="1:11" x14ac:dyDescent="0.2">
      <c r="A198" t="s">
        <v>6483</v>
      </c>
      <c r="B198" t="s">
        <v>6484</v>
      </c>
      <c r="C198" t="s">
        <v>6485</v>
      </c>
      <c r="D198" t="str">
        <f>"5802"</f>
        <v>5802</v>
      </c>
      <c r="E198" t="s">
        <v>6057</v>
      </c>
      <c r="F198" t="s">
        <v>6486</v>
      </c>
      <c r="G198" t="str">
        <f>"14.12.2018"</f>
        <v>14.12.2018</v>
      </c>
      <c r="H198" t="s">
        <v>6487</v>
      </c>
      <c r="I198" t="s">
        <v>6488</v>
      </c>
      <c r="J198" t="s">
        <v>6489</v>
      </c>
      <c r="K198" t="s">
        <v>19</v>
      </c>
    </row>
    <row r="199" spans="1:11" x14ac:dyDescent="0.2">
      <c r="A199" t="s">
        <v>6490</v>
      </c>
      <c r="B199" t="s">
        <v>6491</v>
      </c>
      <c r="C199" t="s">
        <v>6492</v>
      </c>
      <c r="D199" t="str">
        <f>"3211"</f>
        <v>3211</v>
      </c>
      <c r="E199" t="s">
        <v>5210</v>
      </c>
      <c r="F199" t="s">
        <v>6493</v>
      </c>
      <c r="G199" t="str">
        <f>"02.08.2007"</f>
        <v>02.08.2007</v>
      </c>
      <c r="H199" t="s">
        <v>6494</v>
      </c>
      <c r="I199" t="s">
        <v>6495</v>
      </c>
      <c r="J199" t="s">
        <v>6496</v>
      </c>
      <c r="K199" t="s">
        <v>6497</v>
      </c>
    </row>
    <row r="200" spans="1:11" x14ac:dyDescent="0.2">
      <c r="A200" t="s">
        <v>6498</v>
      </c>
      <c r="B200" t="s">
        <v>6499</v>
      </c>
      <c r="C200" t="s">
        <v>6500</v>
      </c>
      <c r="D200" t="str">
        <f>"1626"</f>
        <v>1626</v>
      </c>
      <c r="E200" t="s">
        <v>6501</v>
      </c>
      <c r="F200" t="s">
        <v>6502</v>
      </c>
      <c r="G200" t="str">
        <f>"18.02.2019"</f>
        <v>18.02.2019</v>
      </c>
      <c r="H200" t="s">
        <v>6503</v>
      </c>
      <c r="I200" t="s">
        <v>6504</v>
      </c>
      <c r="J200" t="s">
        <v>5</v>
      </c>
      <c r="K200" t="s">
        <v>19</v>
      </c>
    </row>
    <row r="201" spans="1:11" x14ac:dyDescent="0.2">
      <c r="A201" t="s">
        <v>6505</v>
      </c>
      <c r="B201" t="s">
        <v>6506</v>
      </c>
      <c r="C201" t="s">
        <v>6507</v>
      </c>
      <c r="D201" t="str">
        <f>"0349"</f>
        <v>0349</v>
      </c>
      <c r="E201" t="s">
        <v>5185</v>
      </c>
      <c r="F201" t="s">
        <v>6508</v>
      </c>
      <c r="G201" t="str">
        <f>"28.10.2016"</f>
        <v>28.10.2016</v>
      </c>
      <c r="H201" t="s">
        <v>6509</v>
      </c>
      <c r="I201" t="s">
        <v>6510</v>
      </c>
      <c r="J201" t="s">
        <v>6511</v>
      </c>
      <c r="K201" t="s">
        <v>5297</v>
      </c>
    </row>
    <row r="202" spans="1:11" x14ac:dyDescent="0.2">
      <c r="A202" t="s">
        <v>6512</v>
      </c>
      <c r="B202" t="s">
        <v>6513</v>
      </c>
      <c r="C202" t="s">
        <v>6514</v>
      </c>
      <c r="D202" t="str">
        <f>"0555"</f>
        <v>0555</v>
      </c>
      <c r="E202" t="s">
        <v>5185</v>
      </c>
      <c r="F202" t="s">
        <v>6515</v>
      </c>
      <c r="G202" t="str">
        <f>"16.03.2017"</f>
        <v>16.03.2017</v>
      </c>
      <c r="H202" t="s">
        <v>6516</v>
      </c>
      <c r="I202" t="s">
        <v>6517</v>
      </c>
      <c r="J202" t="s">
        <v>6518</v>
      </c>
      <c r="K202" t="s">
        <v>19</v>
      </c>
    </row>
    <row r="203" spans="1:11" x14ac:dyDescent="0.2">
      <c r="A203" t="s">
        <v>6519</v>
      </c>
      <c r="B203" t="s">
        <v>6520</v>
      </c>
      <c r="C203" t="s">
        <v>6521</v>
      </c>
      <c r="D203" t="str">
        <f>"0180"</f>
        <v>0180</v>
      </c>
      <c r="E203" t="s">
        <v>5185</v>
      </c>
      <c r="F203" t="s">
        <v>6522</v>
      </c>
      <c r="G203" t="str">
        <f>"22.07.2020"</f>
        <v>22.07.2020</v>
      </c>
      <c r="H203" t="s">
        <v>6523</v>
      </c>
      <c r="I203" t="s">
        <v>6524</v>
      </c>
      <c r="J203" t="s">
        <v>6525</v>
      </c>
      <c r="K203" t="s">
        <v>19</v>
      </c>
    </row>
    <row r="204" spans="1:11" x14ac:dyDescent="0.2">
      <c r="A204" t="s">
        <v>6526</v>
      </c>
      <c r="B204" t="s">
        <v>6527</v>
      </c>
      <c r="C204" t="s">
        <v>6528</v>
      </c>
      <c r="D204" t="str">
        <f>"4662"</f>
        <v>4662</v>
      </c>
      <c r="E204" t="s">
        <v>5350</v>
      </c>
      <c r="F204" t="s">
        <v>6529</v>
      </c>
      <c r="G204" t="str">
        <f>"22.03.2019"</f>
        <v>22.03.2019</v>
      </c>
      <c r="H204" t="s">
        <v>6530</v>
      </c>
      <c r="I204" t="s">
        <v>6531</v>
      </c>
      <c r="J204" t="s">
        <v>6532</v>
      </c>
      <c r="K204" t="s">
        <v>5191</v>
      </c>
    </row>
    <row r="205" spans="1:11" x14ac:dyDescent="0.2">
      <c r="A205" t="s">
        <v>6533</v>
      </c>
      <c r="B205" t="s">
        <v>6534</v>
      </c>
      <c r="C205" t="s">
        <v>6535</v>
      </c>
      <c r="D205" t="str">
        <f>"7011"</f>
        <v>7011</v>
      </c>
      <c r="E205" t="s">
        <v>5284</v>
      </c>
      <c r="F205" t="s">
        <v>6536</v>
      </c>
      <c r="G205" t="str">
        <f>"24.09.2012"</f>
        <v>24.09.2012</v>
      </c>
      <c r="H205" t="s">
        <v>6537</v>
      </c>
      <c r="I205" t="s">
        <v>6538</v>
      </c>
      <c r="J205" t="s">
        <v>6539</v>
      </c>
      <c r="K205" t="s">
        <v>19</v>
      </c>
    </row>
    <row r="206" spans="1:11" x14ac:dyDescent="0.2">
      <c r="A206" t="s">
        <v>6540</v>
      </c>
      <c r="B206" t="s">
        <v>6541</v>
      </c>
      <c r="C206" t="s">
        <v>6403</v>
      </c>
      <c r="D206" t="str">
        <f>"0254"</f>
        <v>0254</v>
      </c>
      <c r="E206" t="s">
        <v>5185</v>
      </c>
      <c r="F206" t="s">
        <v>6542</v>
      </c>
      <c r="G206" t="str">
        <f>"22.08.2014"</f>
        <v>22.08.2014</v>
      </c>
      <c r="H206" t="s">
        <v>6543</v>
      </c>
      <c r="I206" t="s">
        <v>6544</v>
      </c>
      <c r="J206" t="s">
        <v>6545</v>
      </c>
      <c r="K206" t="s">
        <v>19</v>
      </c>
    </row>
    <row r="207" spans="1:11" x14ac:dyDescent="0.2">
      <c r="A207" t="s">
        <v>6546</v>
      </c>
      <c r="B207" t="s">
        <v>6547</v>
      </c>
      <c r="C207" t="s">
        <v>6548</v>
      </c>
      <c r="D207" t="str">
        <f>"0170"</f>
        <v>0170</v>
      </c>
      <c r="E207" t="s">
        <v>5185</v>
      </c>
      <c r="F207" t="s">
        <v>6549</v>
      </c>
      <c r="G207" t="str">
        <f>"12.06.2013"</f>
        <v>12.06.2013</v>
      </c>
      <c r="H207" t="s">
        <v>6550</v>
      </c>
      <c r="I207" t="s">
        <v>6551</v>
      </c>
      <c r="J207" t="s">
        <v>6552</v>
      </c>
      <c r="K207" t="s">
        <v>19</v>
      </c>
    </row>
    <row r="208" spans="1:11" x14ac:dyDescent="0.2">
      <c r="A208" t="s">
        <v>6553</v>
      </c>
      <c r="B208" t="s">
        <v>6554</v>
      </c>
      <c r="C208" t="s">
        <v>6555</v>
      </c>
      <c r="D208" t="str">
        <f>"1366"</f>
        <v>1366</v>
      </c>
      <c r="E208" t="s">
        <v>5454</v>
      </c>
      <c r="F208" t="s">
        <v>6556</v>
      </c>
      <c r="G208" t="str">
        <f>"10.03.2015"</f>
        <v>10.03.2015</v>
      </c>
      <c r="H208" t="s">
        <v>6557</v>
      </c>
      <c r="I208" t="s">
        <v>6558</v>
      </c>
      <c r="J208" t="s">
        <v>6559</v>
      </c>
    </row>
    <row r="209" spans="1:11" x14ac:dyDescent="0.2">
      <c r="A209" t="s">
        <v>6560</v>
      </c>
      <c r="B209" t="s">
        <v>6561</v>
      </c>
      <c r="C209" t="s">
        <v>6562</v>
      </c>
      <c r="D209" t="str">
        <f>"1384"</f>
        <v>1384</v>
      </c>
      <c r="E209" t="s">
        <v>5668</v>
      </c>
      <c r="F209" t="s">
        <v>6563</v>
      </c>
      <c r="G209" t="str">
        <f>"08.10.2014"</f>
        <v>08.10.2014</v>
      </c>
      <c r="H209" t="s">
        <v>6564</v>
      </c>
      <c r="I209" t="s">
        <v>6565</v>
      </c>
      <c r="J209" t="s">
        <v>6566</v>
      </c>
      <c r="K209" t="s">
        <v>19</v>
      </c>
    </row>
    <row r="210" spans="1:11" x14ac:dyDescent="0.2">
      <c r="A210" t="s">
        <v>6567</v>
      </c>
      <c r="B210" t="s">
        <v>6568</v>
      </c>
      <c r="C210" t="s">
        <v>6569</v>
      </c>
      <c r="D210" t="str">
        <f>"1413"</f>
        <v>1413</v>
      </c>
      <c r="E210" t="s">
        <v>6570</v>
      </c>
      <c r="F210" t="s">
        <v>6571</v>
      </c>
      <c r="G210" t="str">
        <f>"05.07.2016"</f>
        <v>05.07.2016</v>
      </c>
      <c r="H210" t="s">
        <v>6572</v>
      </c>
      <c r="I210" t="s">
        <v>6573</v>
      </c>
      <c r="J210" t="s">
        <v>6574</v>
      </c>
      <c r="K210" t="s">
        <v>6062</v>
      </c>
    </row>
    <row r="211" spans="1:11" x14ac:dyDescent="0.2">
      <c r="A211" t="s">
        <v>6575</v>
      </c>
      <c r="B211" t="s">
        <v>6576</v>
      </c>
      <c r="C211" t="s">
        <v>6577</v>
      </c>
      <c r="D211" t="str">
        <f>"0158"</f>
        <v>0158</v>
      </c>
      <c r="E211" t="s">
        <v>5185</v>
      </c>
      <c r="F211" t="s">
        <v>6578</v>
      </c>
      <c r="G211" t="str">
        <f>"04.06.2018"</f>
        <v>04.06.2018</v>
      </c>
      <c r="H211" t="s">
        <v>6579</v>
      </c>
      <c r="I211" t="s">
        <v>6580</v>
      </c>
      <c r="J211" t="s">
        <v>6581</v>
      </c>
      <c r="K211" t="s">
        <v>19</v>
      </c>
    </row>
    <row r="212" spans="1:11" x14ac:dyDescent="0.2">
      <c r="A212" t="s">
        <v>6582</v>
      </c>
      <c r="B212" t="s">
        <v>6583</v>
      </c>
      <c r="C212" t="s">
        <v>6584</v>
      </c>
      <c r="D212" t="str">
        <f>"4014"</f>
        <v>4014</v>
      </c>
      <c r="E212" t="s">
        <v>5317</v>
      </c>
      <c r="F212" t="s">
        <v>6585</v>
      </c>
      <c r="G212" t="str">
        <f>"11.10.2014"</f>
        <v>11.10.2014</v>
      </c>
      <c r="H212" t="s">
        <v>6586</v>
      </c>
      <c r="I212" t="s">
        <v>6587</v>
      </c>
      <c r="J212" t="s">
        <v>6588</v>
      </c>
      <c r="K212" t="s">
        <v>19</v>
      </c>
    </row>
    <row r="213" spans="1:11" x14ac:dyDescent="0.2">
      <c r="A213" t="s">
        <v>6589</v>
      </c>
      <c r="B213" t="s">
        <v>6590</v>
      </c>
      <c r="C213" t="s">
        <v>6591</v>
      </c>
      <c r="D213" t="str">
        <f>"0161"</f>
        <v>0161</v>
      </c>
      <c r="E213" t="s">
        <v>5185</v>
      </c>
      <c r="F213" t="s">
        <v>6592</v>
      </c>
      <c r="G213" t="str">
        <f>"05.09.2019"</f>
        <v>05.09.2019</v>
      </c>
      <c r="H213" t="s">
        <v>6593</v>
      </c>
      <c r="I213" t="s">
        <v>6594</v>
      </c>
      <c r="J213" t="s">
        <v>6595</v>
      </c>
      <c r="K213" t="s">
        <v>5191</v>
      </c>
    </row>
    <row r="214" spans="1:11" x14ac:dyDescent="0.2">
      <c r="A214" t="s">
        <v>6596</v>
      </c>
      <c r="B214" t="s">
        <v>6597</v>
      </c>
      <c r="C214" t="s">
        <v>6598</v>
      </c>
      <c r="D214" t="str">
        <f>"3080"</f>
        <v>3080</v>
      </c>
      <c r="E214" t="s">
        <v>6599</v>
      </c>
      <c r="F214" t="s">
        <v>6600</v>
      </c>
      <c r="G214" t="str">
        <f>"23.08.2017"</f>
        <v>23.08.2017</v>
      </c>
      <c r="H214" t="s">
        <v>6601</v>
      </c>
      <c r="I214" t="s">
        <v>6602</v>
      </c>
      <c r="J214" t="s">
        <v>6603</v>
      </c>
      <c r="K214" t="s">
        <v>19</v>
      </c>
    </row>
    <row r="215" spans="1:11" x14ac:dyDescent="0.2">
      <c r="A215" t="s">
        <v>6604</v>
      </c>
      <c r="B215" t="s">
        <v>6605</v>
      </c>
      <c r="C215" t="s">
        <v>6606</v>
      </c>
      <c r="D215" t="str">
        <f>"5012"</f>
        <v>5012</v>
      </c>
      <c r="E215" t="s">
        <v>6057</v>
      </c>
      <c r="F215" t="s">
        <v>6607</v>
      </c>
      <c r="G215" t="str">
        <f>"13.11.2015"</f>
        <v>13.11.2015</v>
      </c>
      <c r="H215" t="s">
        <v>6608</v>
      </c>
      <c r="I215" t="s">
        <v>6609</v>
      </c>
      <c r="J215" t="s">
        <v>6610</v>
      </c>
      <c r="K215" t="s">
        <v>19</v>
      </c>
    </row>
    <row r="216" spans="1:11" x14ac:dyDescent="0.2">
      <c r="A216" t="s">
        <v>6611</v>
      </c>
      <c r="B216" t="s">
        <v>6612</v>
      </c>
      <c r="C216" t="s">
        <v>6613</v>
      </c>
      <c r="D216" t="str">
        <f>"4020"</f>
        <v>4020</v>
      </c>
      <c r="E216" t="s">
        <v>5317</v>
      </c>
      <c r="F216" t="s">
        <v>6614</v>
      </c>
      <c r="G216" t="str">
        <f>"25.07.2013"</f>
        <v>25.07.2013</v>
      </c>
      <c r="H216" t="s">
        <v>6615</v>
      </c>
      <c r="I216" t="s">
        <v>6616</v>
      </c>
      <c r="J216" t="s">
        <v>6617</v>
      </c>
      <c r="K216" t="s">
        <v>443</v>
      </c>
    </row>
    <row r="217" spans="1:11" x14ac:dyDescent="0.2">
      <c r="A217" t="s">
        <v>6618</v>
      </c>
      <c r="B217" t="s">
        <v>6619</v>
      </c>
      <c r="C217" t="s">
        <v>6620</v>
      </c>
      <c r="D217" t="str">
        <f>"7654"</f>
        <v>7654</v>
      </c>
      <c r="E217" t="s">
        <v>6621</v>
      </c>
      <c r="F217" t="s">
        <v>6622</v>
      </c>
      <c r="G217" t="str">
        <f>"20.04.2006"</f>
        <v>20.04.2006</v>
      </c>
      <c r="H217" t="s">
        <v>6623</v>
      </c>
      <c r="I217" t="s">
        <v>6624</v>
      </c>
      <c r="J217" t="s">
        <v>6625</v>
      </c>
      <c r="K217" t="s">
        <v>19</v>
      </c>
    </row>
    <row r="218" spans="1:11" x14ac:dyDescent="0.2">
      <c r="A218" t="s">
        <v>6626</v>
      </c>
      <c r="B218" t="s">
        <v>6627</v>
      </c>
      <c r="C218" t="s">
        <v>6628</v>
      </c>
      <c r="D218" t="str">
        <f>"0264"</f>
        <v>0264</v>
      </c>
      <c r="E218" t="s">
        <v>5185</v>
      </c>
      <c r="F218" t="s">
        <v>6629</v>
      </c>
      <c r="G218" t="str">
        <f>"17.09.2019"</f>
        <v>17.09.2019</v>
      </c>
      <c r="H218" t="s">
        <v>6630</v>
      </c>
      <c r="I218" t="s">
        <v>6631</v>
      </c>
      <c r="J218" t="s">
        <v>6632</v>
      </c>
      <c r="K218" t="s">
        <v>3422</v>
      </c>
    </row>
    <row r="219" spans="1:11" x14ac:dyDescent="0.2">
      <c r="A219" t="s">
        <v>6633</v>
      </c>
      <c r="B219" t="s">
        <v>6634</v>
      </c>
      <c r="C219" t="s">
        <v>6635</v>
      </c>
      <c r="D219" t="str">
        <f>"2317"</f>
        <v>2317</v>
      </c>
      <c r="E219" t="s">
        <v>6636</v>
      </c>
      <c r="F219" t="s">
        <v>4764</v>
      </c>
      <c r="G219" t="str">
        <f>"09.12.2014"</f>
        <v>09.12.2014</v>
      </c>
      <c r="H219" t="s">
        <v>6637</v>
      </c>
      <c r="I219" t="s">
        <v>6638</v>
      </c>
      <c r="J219" t="s">
        <v>6639</v>
      </c>
      <c r="K219" t="s">
        <v>3422</v>
      </c>
    </row>
    <row r="220" spans="1:11" x14ac:dyDescent="0.2">
      <c r="A220" t="s">
        <v>6640</v>
      </c>
      <c r="B220" t="s">
        <v>6641</v>
      </c>
      <c r="C220" t="s">
        <v>6642</v>
      </c>
      <c r="D220" t="str">
        <f>"0106"</f>
        <v>0106</v>
      </c>
      <c r="E220" t="s">
        <v>5185</v>
      </c>
      <c r="F220" t="s">
        <v>6643</v>
      </c>
      <c r="G220" t="str">
        <f>"13.11.2006"</f>
        <v>13.11.2006</v>
      </c>
      <c r="H220" t="s">
        <v>6644</v>
      </c>
      <c r="I220" t="s">
        <v>6645</v>
      </c>
      <c r="J220" t="s">
        <v>6646</v>
      </c>
      <c r="K220" t="s">
        <v>5421</v>
      </c>
    </row>
    <row r="221" spans="1:11" x14ac:dyDescent="0.2">
      <c r="A221" t="s">
        <v>6647</v>
      </c>
      <c r="B221" t="s">
        <v>6648</v>
      </c>
      <c r="C221" t="s">
        <v>6649</v>
      </c>
      <c r="D221" t="str">
        <f>"0602"</f>
        <v>0602</v>
      </c>
      <c r="E221" t="s">
        <v>5185</v>
      </c>
      <c r="F221" t="s">
        <v>4778</v>
      </c>
      <c r="G221" t="str">
        <f>"24.01.2012"</f>
        <v>24.01.2012</v>
      </c>
      <c r="H221" t="s">
        <v>6650</v>
      </c>
      <c r="I221" t="s">
        <v>6651</v>
      </c>
      <c r="J221" t="s">
        <v>6652</v>
      </c>
      <c r="K221" t="s">
        <v>6653</v>
      </c>
    </row>
    <row r="222" spans="1:11" x14ac:dyDescent="0.2">
      <c r="A222" t="s">
        <v>6654</v>
      </c>
      <c r="B222" t="s">
        <v>6655</v>
      </c>
      <c r="C222" t="s">
        <v>6656</v>
      </c>
      <c r="D222" t="str">
        <f>"0363"</f>
        <v>0363</v>
      </c>
      <c r="E222" t="s">
        <v>5185</v>
      </c>
      <c r="F222" t="s">
        <v>6657</v>
      </c>
      <c r="G222" t="str">
        <f>"25.05.2016"</f>
        <v>25.05.2016</v>
      </c>
      <c r="H222" t="s">
        <v>6658</v>
      </c>
      <c r="I222" t="s">
        <v>6659</v>
      </c>
      <c r="J222" t="s">
        <v>6660</v>
      </c>
      <c r="K222" t="s">
        <v>19</v>
      </c>
    </row>
    <row r="223" spans="1:11" x14ac:dyDescent="0.2">
      <c r="A223" t="s">
        <v>6661</v>
      </c>
      <c r="B223" t="s">
        <v>6662</v>
      </c>
      <c r="C223" t="s">
        <v>6663</v>
      </c>
      <c r="D223" t="str">
        <f>"3960"</f>
        <v>3960</v>
      </c>
      <c r="E223" t="s">
        <v>6664</v>
      </c>
      <c r="F223" t="s">
        <v>6665</v>
      </c>
      <c r="G223" t="str">
        <f>"06.04.2017"</f>
        <v>06.04.2017</v>
      </c>
      <c r="H223" t="s">
        <v>6666</v>
      </c>
      <c r="I223" t="s">
        <v>6667</v>
      </c>
      <c r="J223" t="s">
        <v>6668</v>
      </c>
      <c r="K223" t="s">
        <v>19</v>
      </c>
    </row>
    <row r="224" spans="1:11" x14ac:dyDescent="0.2">
      <c r="A224" t="s">
        <v>6669</v>
      </c>
      <c r="B224" t="s">
        <v>6670</v>
      </c>
      <c r="C224" t="s">
        <v>6671</v>
      </c>
      <c r="D224" t="str">
        <f>"1482"</f>
        <v>1482</v>
      </c>
      <c r="E224" t="s">
        <v>6672</v>
      </c>
      <c r="F224" t="s">
        <v>6673</v>
      </c>
      <c r="G224" t="str">
        <f>"31.03.2012"</f>
        <v>31.03.2012</v>
      </c>
      <c r="H224" t="s">
        <v>6674</v>
      </c>
      <c r="I224" t="s">
        <v>6675</v>
      </c>
      <c r="J224" t="s">
        <v>6676</v>
      </c>
      <c r="K224" t="s">
        <v>5297</v>
      </c>
    </row>
    <row r="225" spans="1:11" x14ac:dyDescent="0.2">
      <c r="A225" t="s">
        <v>6677</v>
      </c>
      <c r="B225" t="s">
        <v>6678</v>
      </c>
      <c r="C225" t="s">
        <v>6679</v>
      </c>
      <c r="D225" t="str">
        <f>"0465"</f>
        <v>0465</v>
      </c>
      <c r="E225" t="s">
        <v>5185</v>
      </c>
      <c r="F225" t="s">
        <v>6680</v>
      </c>
      <c r="G225" t="str">
        <f>"09.01.2017"</f>
        <v>09.01.2017</v>
      </c>
      <c r="H225" t="s">
        <v>6681</v>
      </c>
      <c r="I225" t="s">
        <v>6682</v>
      </c>
      <c r="J225" t="s">
        <v>6683</v>
      </c>
      <c r="K225" t="s">
        <v>5297</v>
      </c>
    </row>
    <row r="226" spans="1:11" x14ac:dyDescent="0.2">
      <c r="A226" t="s">
        <v>6684</v>
      </c>
      <c r="B226" t="s">
        <v>6685</v>
      </c>
      <c r="C226" t="s">
        <v>6686</v>
      </c>
      <c r="D226" t="str">
        <f>"0124"</f>
        <v>0124</v>
      </c>
      <c r="E226" t="s">
        <v>5185</v>
      </c>
      <c r="F226" t="s">
        <v>6687</v>
      </c>
      <c r="G226" t="str">
        <f>"10.03.2020"</f>
        <v>10.03.2020</v>
      </c>
      <c r="H226" t="s">
        <v>6688</v>
      </c>
      <c r="I226" t="s">
        <v>6689</v>
      </c>
      <c r="J226" t="s">
        <v>6690</v>
      </c>
      <c r="K226" t="s">
        <v>19</v>
      </c>
    </row>
    <row r="227" spans="1:11" x14ac:dyDescent="0.2">
      <c r="A227" t="s">
        <v>6691</v>
      </c>
      <c r="B227" t="s">
        <v>6692</v>
      </c>
      <c r="C227" t="s">
        <v>6693</v>
      </c>
      <c r="D227" t="str">
        <f>"0151"</f>
        <v>0151</v>
      </c>
      <c r="E227" t="s">
        <v>5185</v>
      </c>
      <c r="F227" t="s">
        <v>6694</v>
      </c>
      <c r="G227" t="str">
        <f>"07.11.2013"</f>
        <v>07.11.2013</v>
      </c>
      <c r="H227" t="s">
        <v>6695</v>
      </c>
      <c r="I227" t="s">
        <v>6696</v>
      </c>
      <c r="J227" t="s">
        <v>6697</v>
      </c>
      <c r="K227" t="s">
        <v>19</v>
      </c>
    </row>
    <row r="228" spans="1:11" x14ac:dyDescent="0.2">
      <c r="A228" t="s">
        <v>6698</v>
      </c>
      <c r="B228" t="s">
        <v>6699</v>
      </c>
      <c r="C228" t="s">
        <v>6700</v>
      </c>
      <c r="D228" t="str">
        <f>"0667"</f>
        <v>0667</v>
      </c>
      <c r="E228" t="s">
        <v>5185</v>
      </c>
      <c r="F228" t="s">
        <v>6701</v>
      </c>
      <c r="G228" t="str">
        <f>"28.09.1995"</f>
        <v>28.09.1995</v>
      </c>
      <c r="H228" t="s">
        <v>6702</v>
      </c>
      <c r="I228" t="s">
        <v>6703</v>
      </c>
      <c r="J228" t="s">
        <v>6704</v>
      </c>
      <c r="K228" t="s">
        <v>6705</v>
      </c>
    </row>
    <row r="229" spans="1:11" x14ac:dyDescent="0.2">
      <c r="A229" t="s">
        <v>6706</v>
      </c>
      <c r="B229" t="s">
        <v>6707</v>
      </c>
      <c r="C229" t="s">
        <v>6708</v>
      </c>
      <c r="D229" t="str">
        <f>"2013"</f>
        <v>2013</v>
      </c>
      <c r="E229" t="s">
        <v>6709</v>
      </c>
      <c r="F229" t="s">
        <v>6710</v>
      </c>
      <c r="G229" t="str">
        <f>"14.01.2014"</f>
        <v>14.01.2014</v>
      </c>
      <c r="H229" t="s">
        <v>6711</v>
      </c>
      <c r="I229" t="s">
        <v>6712</v>
      </c>
      <c r="J229" t="s">
        <v>6713</v>
      </c>
      <c r="K229" t="s">
        <v>19</v>
      </c>
    </row>
    <row r="230" spans="1:11" x14ac:dyDescent="0.2">
      <c r="A230" t="s">
        <v>6714</v>
      </c>
      <c r="B230" t="s">
        <v>6715</v>
      </c>
      <c r="C230" t="s">
        <v>6716</v>
      </c>
      <c r="D230" t="str">
        <f>"5604"</f>
        <v>5604</v>
      </c>
      <c r="E230" t="s">
        <v>6717</v>
      </c>
      <c r="F230" t="s">
        <v>6718</v>
      </c>
      <c r="G230" t="str">
        <f>"24.11.2009"</f>
        <v>24.11.2009</v>
      </c>
      <c r="H230" t="s">
        <v>6719</v>
      </c>
      <c r="I230" t="s">
        <v>6720</v>
      </c>
      <c r="J230" t="s">
        <v>6721</v>
      </c>
      <c r="K230" t="s">
        <v>1894</v>
      </c>
    </row>
    <row r="231" spans="1:11" x14ac:dyDescent="0.2">
      <c r="A231" t="s">
        <v>6722</v>
      </c>
      <c r="B231" t="s">
        <v>6723</v>
      </c>
      <c r="C231" t="s">
        <v>6724</v>
      </c>
      <c r="D231" t="str">
        <f>"0181"</f>
        <v>0181</v>
      </c>
      <c r="E231" t="s">
        <v>5185</v>
      </c>
      <c r="F231" t="s">
        <v>6725</v>
      </c>
      <c r="G231" t="str">
        <f>"10.03.2016"</f>
        <v>10.03.2016</v>
      </c>
      <c r="H231" t="s">
        <v>6726</v>
      </c>
      <c r="I231" t="s">
        <v>6727</v>
      </c>
      <c r="J231" t="s">
        <v>6728</v>
      </c>
      <c r="K231" t="s">
        <v>19</v>
      </c>
    </row>
    <row r="232" spans="1:11" x14ac:dyDescent="0.2">
      <c r="A232" t="s">
        <v>6729</v>
      </c>
      <c r="B232" t="s">
        <v>6730</v>
      </c>
      <c r="C232" t="s">
        <v>6731</v>
      </c>
      <c r="D232" t="str">
        <f>"0606"</f>
        <v>0606</v>
      </c>
      <c r="E232" t="s">
        <v>5185</v>
      </c>
      <c r="F232" t="s">
        <v>6732</v>
      </c>
      <c r="G232" t="str">
        <f>"29.01.1997"</f>
        <v>29.01.1997</v>
      </c>
      <c r="H232" t="s">
        <v>6733</v>
      </c>
      <c r="I232" t="s">
        <v>6734</v>
      </c>
      <c r="J232" t="s">
        <v>6735</v>
      </c>
      <c r="K232" t="s">
        <v>5191</v>
      </c>
    </row>
    <row r="233" spans="1:11" x14ac:dyDescent="0.2">
      <c r="A233" t="s">
        <v>6736</v>
      </c>
      <c r="B233" t="s">
        <v>6737</v>
      </c>
      <c r="C233" t="s">
        <v>6738</v>
      </c>
      <c r="D233" t="str">
        <f>"5146"</f>
        <v>5146</v>
      </c>
      <c r="E233" t="s">
        <v>6381</v>
      </c>
      <c r="F233" t="s">
        <v>6739</v>
      </c>
      <c r="G233" t="str">
        <f>"30.03.2010"</f>
        <v>30.03.2010</v>
      </c>
      <c r="H233" t="s">
        <v>6740</v>
      </c>
      <c r="I233" t="s">
        <v>6741</v>
      </c>
      <c r="J233" t="s">
        <v>6742</v>
      </c>
      <c r="K233" t="s">
        <v>6743</v>
      </c>
    </row>
    <row r="234" spans="1:11" x14ac:dyDescent="0.2">
      <c r="A234" t="s">
        <v>6744</v>
      </c>
      <c r="B234" t="s">
        <v>6745</v>
      </c>
      <c r="C234" t="s">
        <v>6746</v>
      </c>
      <c r="D234" t="str">
        <f>"0168"</f>
        <v>0168</v>
      </c>
      <c r="E234" t="s">
        <v>5185</v>
      </c>
      <c r="F234" t="s">
        <v>6747</v>
      </c>
      <c r="G234" t="str">
        <f>"04.11.2019"</f>
        <v>04.11.2019</v>
      </c>
      <c r="H234" t="s">
        <v>6748</v>
      </c>
      <c r="I234" t="s">
        <v>6749</v>
      </c>
      <c r="J234" t="s">
        <v>6750</v>
      </c>
      <c r="K234" t="s">
        <v>19</v>
      </c>
    </row>
    <row r="235" spans="1:11" x14ac:dyDescent="0.2">
      <c r="A235" t="s">
        <v>6751</v>
      </c>
      <c r="B235" t="s">
        <v>6752</v>
      </c>
      <c r="C235" t="s">
        <v>6753</v>
      </c>
      <c r="D235" t="str">
        <f>"6652"</f>
        <v>6652</v>
      </c>
      <c r="E235" t="s">
        <v>6754</v>
      </c>
      <c r="F235" t="s">
        <v>6755</v>
      </c>
      <c r="G235" t="str">
        <f>"13.02.2020"</f>
        <v>13.02.2020</v>
      </c>
      <c r="H235" t="s">
        <v>6756</v>
      </c>
      <c r="I235" t="s">
        <v>6757</v>
      </c>
      <c r="J235" t="s">
        <v>6758</v>
      </c>
      <c r="K235" t="s">
        <v>19</v>
      </c>
    </row>
    <row r="236" spans="1:11" x14ac:dyDescent="0.2">
      <c r="A236" t="s">
        <v>6759</v>
      </c>
      <c r="B236" t="s">
        <v>6760</v>
      </c>
      <c r="C236" t="s">
        <v>6761</v>
      </c>
      <c r="D236" t="str">
        <f>"0354"</f>
        <v>0354</v>
      </c>
      <c r="E236" t="s">
        <v>5185</v>
      </c>
      <c r="F236" t="s">
        <v>6762</v>
      </c>
      <c r="G236" t="str">
        <f>"06.02.2006"</f>
        <v>06.02.2006</v>
      </c>
      <c r="H236" t="s">
        <v>6763</v>
      </c>
      <c r="I236" t="s">
        <v>6764</v>
      </c>
      <c r="J236" t="s">
        <v>6765</v>
      </c>
      <c r="K236" t="s">
        <v>5702</v>
      </c>
    </row>
    <row r="237" spans="1:11" x14ac:dyDescent="0.2">
      <c r="A237" t="s">
        <v>6766</v>
      </c>
      <c r="B237" t="s">
        <v>6767</v>
      </c>
      <c r="C237" t="s">
        <v>6768</v>
      </c>
      <c r="D237" t="str">
        <f>"1086"</f>
        <v>1086</v>
      </c>
      <c r="E237" t="s">
        <v>5185</v>
      </c>
      <c r="F237" t="s">
        <v>6769</v>
      </c>
      <c r="G237" t="str">
        <f>"05.09.2018"</f>
        <v>05.09.2018</v>
      </c>
      <c r="H237" t="s">
        <v>6770</v>
      </c>
      <c r="I237" t="s">
        <v>6771</v>
      </c>
      <c r="J237" t="s">
        <v>6772</v>
      </c>
      <c r="K237" t="s">
        <v>19</v>
      </c>
    </row>
    <row r="238" spans="1:11" x14ac:dyDescent="0.2">
      <c r="A238" t="s">
        <v>6773</v>
      </c>
      <c r="B238" t="s">
        <v>6774</v>
      </c>
      <c r="C238" t="s">
        <v>6775</v>
      </c>
      <c r="D238" t="str">
        <f>"3151"</f>
        <v>3151</v>
      </c>
      <c r="E238" t="s">
        <v>6776</v>
      </c>
      <c r="F238" t="s">
        <v>6777</v>
      </c>
      <c r="G238" t="str">
        <f>"14.02.2006"</f>
        <v>14.02.2006</v>
      </c>
      <c r="H238" t="s">
        <v>6778</v>
      </c>
      <c r="I238" t="s">
        <v>6779</v>
      </c>
      <c r="J238" t="s">
        <v>6780</v>
      </c>
      <c r="K238" t="s">
        <v>6781</v>
      </c>
    </row>
    <row r="239" spans="1:11" x14ac:dyDescent="0.2">
      <c r="A239" t="s">
        <v>6782</v>
      </c>
      <c r="B239" t="s">
        <v>6783</v>
      </c>
      <c r="C239" t="s">
        <v>6784</v>
      </c>
      <c r="D239" t="str">
        <f>"3830"</f>
        <v>3830</v>
      </c>
      <c r="E239" t="s">
        <v>6785</v>
      </c>
      <c r="F239" t="s">
        <v>6786</v>
      </c>
      <c r="G239" t="str">
        <f>"02.11.2016"</f>
        <v>02.11.2016</v>
      </c>
      <c r="H239" t="s">
        <v>6787</v>
      </c>
      <c r="I239" t="s">
        <v>6788</v>
      </c>
      <c r="J239" t="s">
        <v>6789</v>
      </c>
      <c r="K239" t="s">
        <v>19</v>
      </c>
    </row>
    <row r="240" spans="1:11" x14ac:dyDescent="0.2">
      <c r="A240" t="s">
        <v>6790</v>
      </c>
      <c r="B240" t="s">
        <v>6791</v>
      </c>
      <c r="C240" t="s">
        <v>6792</v>
      </c>
      <c r="D240" t="str">
        <f>"1366"</f>
        <v>1366</v>
      </c>
      <c r="E240" t="s">
        <v>5454</v>
      </c>
      <c r="F240" t="s">
        <v>6793</v>
      </c>
      <c r="G240" t="str">
        <f>"13.06.2018"</f>
        <v>13.06.2018</v>
      </c>
      <c r="H240" t="s">
        <v>6794</v>
      </c>
      <c r="I240" t="s">
        <v>6795</v>
      </c>
      <c r="J240" t="s">
        <v>6796</v>
      </c>
      <c r="K240" t="s">
        <v>6797</v>
      </c>
    </row>
    <row r="241" spans="1:11" x14ac:dyDescent="0.2">
      <c r="A241" t="s">
        <v>6798</v>
      </c>
      <c r="B241" t="s">
        <v>6799</v>
      </c>
      <c r="C241" t="s">
        <v>6800</v>
      </c>
      <c r="D241" t="str">
        <f>"0165"</f>
        <v>0165</v>
      </c>
      <c r="E241" t="s">
        <v>5185</v>
      </c>
      <c r="F241" t="s">
        <v>6801</v>
      </c>
      <c r="G241" t="str">
        <f>"19.02.1995"</f>
        <v>19.02.1995</v>
      </c>
      <c r="H241" t="s">
        <v>6802</v>
      </c>
      <c r="I241" t="s">
        <v>6803</v>
      </c>
      <c r="J241" t="s">
        <v>6804</v>
      </c>
      <c r="K241" t="s">
        <v>19</v>
      </c>
    </row>
    <row r="242" spans="1:11" x14ac:dyDescent="0.2">
      <c r="A242" t="s">
        <v>6805</v>
      </c>
      <c r="B242" t="s">
        <v>6806</v>
      </c>
      <c r="C242" t="s">
        <v>6807</v>
      </c>
      <c r="D242" t="str">
        <f>"0275"</f>
        <v>0275</v>
      </c>
      <c r="E242" t="s">
        <v>5185</v>
      </c>
      <c r="F242" t="s">
        <v>6808</v>
      </c>
      <c r="G242" t="str">
        <f>"13.06.2001"</f>
        <v>13.06.2001</v>
      </c>
      <c r="H242" t="s">
        <v>6809</v>
      </c>
      <c r="I242" t="s">
        <v>6810</v>
      </c>
      <c r="J242" t="s">
        <v>6811</v>
      </c>
      <c r="K242" t="s">
        <v>5421</v>
      </c>
    </row>
    <row r="243" spans="1:11" x14ac:dyDescent="0.2">
      <c r="A243" t="s">
        <v>6812</v>
      </c>
      <c r="B243" t="s">
        <v>6813</v>
      </c>
      <c r="C243" t="s">
        <v>5536</v>
      </c>
      <c r="D243" t="str">
        <f>"6011"</f>
        <v>6011</v>
      </c>
      <c r="E243" t="s">
        <v>5537</v>
      </c>
      <c r="F243" t="s">
        <v>6814</v>
      </c>
      <c r="G243" t="str">
        <f>"21.09.2016"</f>
        <v>21.09.2016</v>
      </c>
      <c r="H243" t="s">
        <v>6815</v>
      </c>
      <c r="I243" t="s">
        <v>6816</v>
      </c>
      <c r="J243" t="s">
        <v>6817</v>
      </c>
      <c r="K243" t="s">
        <v>5297</v>
      </c>
    </row>
    <row r="244" spans="1:11" x14ac:dyDescent="0.2">
      <c r="A244" t="s">
        <v>6818</v>
      </c>
      <c r="B244" t="s">
        <v>6819</v>
      </c>
      <c r="C244" t="s">
        <v>6820</v>
      </c>
      <c r="E244" t="s">
        <v>6821</v>
      </c>
      <c r="F244" t="s">
        <v>6822</v>
      </c>
      <c r="G244" t="str">
        <f>"03.04.2001"</f>
        <v>03.04.2001</v>
      </c>
      <c r="H244" t="s">
        <v>6823</v>
      </c>
      <c r="I244" t="s">
        <v>6824</v>
      </c>
      <c r="J244" t="s">
        <v>6825</v>
      </c>
      <c r="K244" t="s">
        <v>6826</v>
      </c>
    </row>
    <row r="245" spans="1:11" x14ac:dyDescent="0.2">
      <c r="A245" t="s">
        <v>6827</v>
      </c>
      <c r="B245" t="s">
        <v>6828</v>
      </c>
      <c r="C245" t="s">
        <v>5871</v>
      </c>
      <c r="D245" t="str">
        <f>"0484"</f>
        <v>0484</v>
      </c>
      <c r="E245" t="s">
        <v>5185</v>
      </c>
      <c r="F245" t="s">
        <v>6829</v>
      </c>
      <c r="G245" t="str">
        <f>"06.04.2017"</f>
        <v>06.04.2017</v>
      </c>
      <c r="H245" t="s">
        <v>6830</v>
      </c>
      <c r="I245" t="s">
        <v>6831</v>
      </c>
      <c r="J245" t="s">
        <v>6832</v>
      </c>
      <c r="K245" t="s">
        <v>19</v>
      </c>
    </row>
    <row r="246" spans="1:11" x14ac:dyDescent="0.2">
      <c r="A246" t="s">
        <v>6833</v>
      </c>
      <c r="B246" t="s">
        <v>6834</v>
      </c>
      <c r="C246" t="s">
        <v>6835</v>
      </c>
      <c r="D246" t="str">
        <f>"2052"</f>
        <v>2052</v>
      </c>
      <c r="E246" t="s">
        <v>5425</v>
      </c>
      <c r="F246" t="s">
        <v>6836</v>
      </c>
      <c r="G246" t="str">
        <f>"09.02.2019"</f>
        <v>09.02.2019</v>
      </c>
      <c r="H246" t="s">
        <v>6837</v>
      </c>
      <c r="I246" t="s">
        <v>6838</v>
      </c>
      <c r="J246" t="s">
        <v>6839</v>
      </c>
      <c r="K246" t="s">
        <v>19</v>
      </c>
    </row>
    <row r="247" spans="1:11" x14ac:dyDescent="0.2">
      <c r="A247" t="s">
        <v>6840</v>
      </c>
      <c r="B247" t="s">
        <v>6841</v>
      </c>
      <c r="C247" t="s">
        <v>6842</v>
      </c>
      <c r="D247" t="str">
        <f>"0484"</f>
        <v>0484</v>
      </c>
      <c r="E247" t="s">
        <v>5185</v>
      </c>
      <c r="F247" t="s">
        <v>6843</v>
      </c>
      <c r="G247" t="str">
        <f>"13.04.2004"</f>
        <v>13.04.2004</v>
      </c>
      <c r="H247" t="s">
        <v>6844</v>
      </c>
      <c r="I247" t="s">
        <v>6845</v>
      </c>
      <c r="J247" t="s">
        <v>6846</v>
      </c>
      <c r="K247" t="s">
        <v>19</v>
      </c>
    </row>
    <row r="248" spans="1:11" x14ac:dyDescent="0.2">
      <c r="A248" t="s">
        <v>6847</v>
      </c>
      <c r="B248" t="s">
        <v>6848</v>
      </c>
      <c r="C248" t="s">
        <v>5603</v>
      </c>
      <c r="D248" t="str">
        <f>"0160"</f>
        <v>0160</v>
      </c>
      <c r="E248" t="s">
        <v>5185</v>
      </c>
      <c r="F248" t="s">
        <v>6849</v>
      </c>
      <c r="G248" t="str">
        <f>"29.06.2020"</f>
        <v>29.06.2020</v>
      </c>
      <c r="H248" t="s">
        <v>6850</v>
      </c>
      <c r="I248" t="s">
        <v>6851</v>
      </c>
      <c r="J248" t="s">
        <v>6852</v>
      </c>
    </row>
    <row r="249" spans="1:11" x14ac:dyDescent="0.2">
      <c r="A249" t="s">
        <v>6853</v>
      </c>
      <c r="B249" t="s">
        <v>6854</v>
      </c>
      <c r="C249" t="s">
        <v>6855</v>
      </c>
      <c r="D249" t="str">
        <f>"0213"</f>
        <v>0213</v>
      </c>
      <c r="E249" t="s">
        <v>5185</v>
      </c>
      <c r="F249" t="s">
        <v>6856</v>
      </c>
      <c r="G249" t="str">
        <f>"25.07.2002"</f>
        <v>25.07.2002</v>
      </c>
      <c r="H249" t="s">
        <v>6857</v>
      </c>
      <c r="I249" t="s">
        <v>6858</v>
      </c>
      <c r="J249" t="s">
        <v>6859</v>
      </c>
      <c r="K249" t="s">
        <v>5297</v>
      </c>
    </row>
    <row r="250" spans="1:11" x14ac:dyDescent="0.2">
      <c r="A250" t="s">
        <v>6860</v>
      </c>
      <c r="B250" t="s">
        <v>6861</v>
      </c>
      <c r="C250" t="s">
        <v>6862</v>
      </c>
      <c r="D250" t="str">
        <f>"1410"</f>
        <v>1410</v>
      </c>
      <c r="E250" t="s">
        <v>6863</v>
      </c>
      <c r="F250" t="s">
        <v>6864</v>
      </c>
      <c r="G250" t="str">
        <f>"18.03.2015"</f>
        <v>18.03.2015</v>
      </c>
      <c r="H250" t="s">
        <v>6865</v>
      </c>
      <c r="I250" t="s">
        <v>6866</v>
      </c>
      <c r="J250" t="s">
        <v>6867</v>
      </c>
      <c r="K250" t="s">
        <v>19</v>
      </c>
    </row>
    <row r="251" spans="1:11" x14ac:dyDescent="0.2">
      <c r="A251" t="s">
        <v>6868</v>
      </c>
      <c r="B251" t="s">
        <v>6869</v>
      </c>
      <c r="C251" t="s">
        <v>6870</v>
      </c>
      <c r="D251" t="str">
        <f>"1358"</f>
        <v>1358</v>
      </c>
      <c r="E251" t="s">
        <v>6871</v>
      </c>
      <c r="F251" t="s">
        <v>6872</v>
      </c>
      <c r="G251" t="str">
        <f>"12.02.2016"</f>
        <v>12.02.2016</v>
      </c>
      <c r="H251" t="s">
        <v>6873</v>
      </c>
      <c r="I251" t="s">
        <v>6874</v>
      </c>
      <c r="J251" t="s">
        <v>6875</v>
      </c>
      <c r="K251" t="s">
        <v>3422</v>
      </c>
    </row>
    <row r="252" spans="1:11" x14ac:dyDescent="0.2">
      <c r="A252" t="s">
        <v>6876</v>
      </c>
      <c r="B252" t="s">
        <v>6877</v>
      </c>
      <c r="C252" t="s">
        <v>6878</v>
      </c>
      <c r="D252" t="str">
        <f>"5542"</f>
        <v>5542</v>
      </c>
      <c r="E252" t="s">
        <v>6879</v>
      </c>
      <c r="F252" t="s">
        <v>6880</v>
      </c>
      <c r="G252" t="str">
        <f>"19.04.2010"</f>
        <v>19.04.2010</v>
      </c>
      <c r="H252" t="s">
        <v>6881</v>
      </c>
      <c r="I252" t="s">
        <v>6882</v>
      </c>
      <c r="J252" t="s">
        <v>6883</v>
      </c>
      <c r="K252" t="s">
        <v>5191</v>
      </c>
    </row>
    <row r="253" spans="1:11" x14ac:dyDescent="0.2">
      <c r="A253" t="s">
        <v>6884</v>
      </c>
      <c r="B253" t="s">
        <v>6885</v>
      </c>
      <c r="C253" t="s">
        <v>6886</v>
      </c>
      <c r="D253" t="str">
        <f>"0366"</f>
        <v>0366</v>
      </c>
      <c r="E253" t="s">
        <v>5185</v>
      </c>
      <c r="F253" t="s">
        <v>6887</v>
      </c>
      <c r="G253" t="str">
        <f>"01.09.2016"</f>
        <v>01.09.2016</v>
      </c>
      <c r="H253" t="s">
        <v>6888</v>
      </c>
      <c r="I253" t="s">
        <v>6889</v>
      </c>
      <c r="J253" t="s">
        <v>6890</v>
      </c>
      <c r="K253" t="s">
        <v>5191</v>
      </c>
    </row>
    <row r="254" spans="1:11" x14ac:dyDescent="0.2">
      <c r="A254" t="s">
        <v>6891</v>
      </c>
      <c r="B254" t="s">
        <v>6892</v>
      </c>
      <c r="C254" t="s">
        <v>6893</v>
      </c>
      <c r="D254" t="str">
        <f>"5008"</f>
        <v>5008</v>
      </c>
      <c r="E254" t="s">
        <v>6057</v>
      </c>
      <c r="F254" t="s">
        <v>6894</v>
      </c>
      <c r="G254" t="str">
        <f>"31.03.2007"</f>
        <v>31.03.2007</v>
      </c>
      <c r="H254" t="s">
        <v>6895</v>
      </c>
      <c r="I254" t="s">
        <v>6896</v>
      </c>
      <c r="J254" t="s">
        <v>6897</v>
      </c>
      <c r="K254" t="s">
        <v>19</v>
      </c>
    </row>
    <row r="255" spans="1:11" x14ac:dyDescent="0.2">
      <c r="A255" t="s">
        <v>6898</v>
      </c>
      <c r="B255" t="s">
        <v>6899</v>
      </c>
      <c r="C255" t="s">
        <v>6900</v>
      </c>
      <c r="D255" t="str">
        <f>"0280"</f>
        <v>0280</v>
      </c>
      <c r="E255" t="s">
        <v>5185</v>
      </c>
      <c r="F255" t="s">
        <v>6901</v>
      </c>
      <c r="G255" t="str">
        <f>"22.08.2012"</f>
        <v>22.08.2012</v>
      </c>
      <c r="H255" t="s">
        <v>6902</v>
      </c>
      <c r="I255" t="s">
        <v>6903</v>
      </c>
      <c r="J255" t="s">
        <v>6904</v>
      </c>
      <c r="K255" t="s">
        <v>6905</v>
      </c>
    </row>
    <row r="256" spans="1:11" x14ac:dyDescent="0.2">
      <c r="A256" t="s">
        <v>6906</v>
      </c>
      <c r="B256" t="s">
        <v>6907</v>
      </c>
      <c r="C256" t="s">
        <v>6908</v>
      </c>
      <c r="D256" t="str">
        <f>"1414"</f>
        <v>1414</v>
      </c>
      <c r="E256" t="s">
        <v>6909</v>
      </c>
      <c r="F256" t="s">
        <v>6910</v>
      </c>
      <c r="G256" t="str">
        <f>"26.01.2000"</f>
        <v>26.01.2000</v>
      </c>
      <c r="H256" t="s">
        <v>6911</v>
      </c>
      <c r="I256" t="s">
        <v>6912</v>
      </c>
      <c r="J256" t="s">
        <v>6913</v>
      </c>
      <c r="K256" t="s">
        <v>5191</v>
      </c>
    </row>
    <row r="257" spans="1:11" x14ac:dyDescent="0.2">
      <c r="A257" t="s">
        <v>6914</v>
      </c>
      <c r="B257" t="s">
        <v>6915</v>
      </c>
      <c r="C257" t="s">
        <v>6916</v>
      </c>
      <c r="D257" t="str">
        <f>"4313"</f>
        <v>4313</v>
      </c>
      <c r="E257" t="s">
        <v>5367</v>
      </c>
      <c r="G257" t="str">
        <f>"22.12.2016"</f>
        <v>22.12.2016</v>
      </c>
      <c r="H257" t="s">
        <v>6917</v>
      </c>
      <c r="I257" t="s">
        <v>6918</v>
      </c>
      <c r="J257" t="s">
        <v>6919</v>
      </c>
      <c r="K257" t="s">
        <v>6920</v>
      </c>
    </row>
    <row r="258" spans="1:11" x14ac:dyDescent="0.2">
      <c r="A258" t="s">
        <v>6921</v>
      </c>
      <c r="B258" t="s">
        <v>6922</v>
      </c>
      <c r="C258" t="s">
        <v>6923</v>
      </c>
      <c r="D258" t="str">
        <f>"0214"</f>
        <v>0214</v>
      </c>
      <c r="E258" t="s">
        <v>5185</v>
      </c>
      <c r="F258" t="s">
        <v>6924</v>
      </c>
      <c r="G258" t="str">
        <f>"19.02.1995"</f>
        <v>19.02.1995</v>
      </c>
      <c r="H258" t="s">
        <v>6917</v>
      </c>
      <c r="I258" t="s">
        <v>6925</v>
      </c>
      <c r="J258" t="s">
        <v>6919</v>
      </c>
      <c r="K258" t="s">
        <v>6920</v>
      </c>
    </row>
    <row r="259" spans="1:11" x14ac:dyDescent="0.2">
      <c r="A259" t="s">
        <v>6926</v>
      </c>
      <c r="B259" t="s">
        <v>6927</v>
      </c>
      <c r="C259" t="s">
        <v>6928</v>
      </c>
      <c r="D259" t="str">
        <f>"5750"</f>
        <v>5750</v>
      </c>
      <c r="E259" t="s">
        <v>6929</v>
      </c>
      <c r="F259" t="s">
        <v>6930</v>
      </c>
      <c r="G259" t="str">
        <f>"18.04.2018"</f>
        <v>18.04.2018</v>
      </c>
      <c r="H259" t="s">
        <v>6931</v>
      </c>
      <c r="I259" t="s">
        <v>6932</v>
      </c>
      <c r="J259" t="s">
        <v>6933</v>
      </c>
      <c r="K259" t="s">
        <v>5346</v>
      </c>
    </row>
    <row r="260" spans="1:11" x14ac:dyDescent="0.2">
      <c r="A260" t="s">
        <v>6934</v>
      </c>
      <c r="B260" t="s">
        <v>6935</v>
      </c>
      <c r="C260" t="s">
        <v>6936</v>
      </c>
      <c r="D260" t="str">
        <f>"0181"</f>
        <v>0181</v>
      </c>
      <c r="E260" t="s">
        <v>5185</v>
      </c>
      <c r="F260" t="s">
        <v>6937</v>
      </c>
      <c r="G260" t="str">
        <f>"20.02.2018"</f>
        <v>20.02.2018</v>
      </c>
      <c r="H260" t="s">
        <v>6938</v>
      </c>
      <c r="I260" t="s">
        <v>6939</v>
      </c>
      <c r="J260" t="s">
        <v>6940</v>
      </c>
      <c r="K260" t="s">
        <v>6482</v>
      </c>
    </row>
    <row r="261" spans="1:11" x14ac:dyDescent="0.2">
      <c r="A261" t="s">
        <v>6941</v>
      </c>
      <c r="B261" t="s">
        <v>6942</v>
      </c>
      <c r="C261" t="s">
        <v>6943</v>
      </c>
      <c r="D261" t="str">
        <f>"0153"</f>
        <v>0153</v>
      </c>
      <c r="E261" t="s">
        <v>5185</v>
      </c>
      <c r="F261" t="s">
        <v>6944</v>
      </c>
      <c r="G261" t="str">
        <f>"07.12.2018"</f>
        <v>07.12.2018</v>
      </c>
      <c r="H261" t="s">
        <v>6945</v>
      </c>
      <c r="I261" t="s">
        <v>6946</v>
      </c>
      <c r="J261" t="s">
        <v>6947</v>
      </c>
      <c r="K261" t="s">
        <v>6062</v>
      </c>
    </row>
    <row r="262" spans="1:11" x14ac:dyDescent="0.2">
      <c r="A262" t="s">
        <v>6948</v>
      </c>
      <c r="B262" t="s">
        <v>6949</v>
      </c>
      <c r="C262" t="s">
        <v>6950</v>
      </c>
      <c r="D262" t="str">
        <f>"3189"</f>
        <v>3189</v>
      </c>
      <c r="E262" t="s">
        <v>6951</v>
      </c>
      <c r="F262" t="s">
        <v>6952</v>
      </c>
      <c r="G262" t="str">
        <f>"25.09.2020"</f>
        <v>25.09.2020</v>
      </c>
      <c r="H262" t="s">
        <v>6953</v>
      </c>
      <c r="I262" t="s">
        <v>6954</v>
      </c>
      <c r="J262" t="s">
        <v>6955</v>
      </c>
      <c r="K262" t="s">
        <v>19</v>
      </c>
    </row>
    <row r="263" spans="1:11" x14ac:dyDescent="0.2">
      <c r="A263" t="s">
        <v>6956</v>
      </c>
      <c r="B263" t="s">
        <v>6957</v>
      </c>
      <c r="C263" t="s">
        <v>6958</v>
      </c>
      <c r="D263" t="str">
        <f>"4033"</f>
        <v>4033</v>
      </c>
      <c r="E263" t="s">
        <v>5317</v>
      </c>
      <c r="F263" t="s">
        <v>6959</v>
      </c>
      <c r="G263" t="str">
        <f>"15.09.2000"</f>
        <v>15.09.2000</v>
      </c>
      <c r="H263" t="s">
        <v>6960</v>
      </c>
      <c r="I263" t="s">
        <v>6961</v>
      </c>
      <c r="J263" t="s">
        <v>6962</v>
      </c>
      <c r="K263" t="s">
        <v>19</v>
      </c>
    </row>
    <row r="264" spans="1:11" x14ac:dyDescent="0.2">
      <c r="A264" t="s">
        <v>6963</v>
      </c>
      <c r="B264" t="s">
        <v>6964</v>
      </c>
      <c r="C264" t="s">
        <v>6965</v>
      </c>
      <c r="D264" t="str">
        <f>"0609"</f>
        <v>0609</v>
      </c>
      <c r="E264" t="s">
        <v>5185</v>
      </c>
      <c r="F264" t="s">
        <v>6966</v>
      </c>
      <c r="G264" t="str">
        <f>"25.09.2004"</f>
        <v>25.09.2004</v>
      </c>
      <c r="H264" t="s">
        <v>6967</v>
      </c>
      <c r="I264" t="s">
        <v>6968</v>
      </c>
      <c r="J264" t="s">
        <v>6969</v>
      </c>
      <c r="K264" t="s">
        <v>19</v>
      </c>
    </row>
    <row r="265" spans="1:11" x14ac:dyDescent="0.2">
      <c r="A265" t="s">
        <v>6970</v>
      </c>
      <c r="B265" t="s">
        <v>6971</v>
      </c>
      <c r="C265" t="s">
        <v>6965</v>
      </c>
      <c r="D265" t="str">
        <f>"0609"</f>
        <v>0609</v>
      </c>
      <c r="E265" t="s">
        <v>5185</v>
      </c>
      <c r="F265" t="s">
        <v>6972</v>
      </c>
      <c r="G265" t="str">
        <f>"16.05.2000"</f>
        <v>16.05.2000</v>
      </c>
      <c r="H265" t="s">
        <v>6973</v>
      </c>
      <c r="I265" t="s">
        <v>6974</v>
      </c>
      <c r="J265" t="s">
        <v>6969</v>
      </c>
      <c r="K265" t="s">
        <v>19</v>
      </c>
    </row>
    <row r="266" spans="1:11" x14ac:dyDescent="0.2">
      <c r="A266" t="s">
        <v>6975</v>
      </c>
      <c r="B266" t="s">
        <v>6976</v>
      </c>
      <c r="C266" t="s">
        <v>6965</v>
      </c>
      <c r="D266" t="str">
        <f>"0609"</f>
        <v>0609</v>
      </c>
      <c r="E266" t="s">
        <v>5185</v>
      </c>
      <c r="F266" t="s">
        <v>6977</v>
      </c>
      <c r="G266" t="str">
        <f>"08.03.2000"</f>
        <v>08.03.2000</v>
      </c>
      <c r="H266" t="s">
        <v>6978</v>
      </c>
      <c r="I266" t="s">
        <v>6979</v>
      </c>
      <c r="J266" t="s">
        <v>6980</v>
      </c>
      <c r="K266" t="s">
        <v>19</v>
      </c>
    </row>
    <row r="267" spans="1:11" x14ac:dyDescent="0.2">
      <c r="A267" t="s">
        <v>6981</v>
      </c>
      <c r="B267" t="s">
        <v>6982</v>
      </c>
      <c r="C267" t="s">
        <v>6983</v>
      </c>
      <c r="D267" t="str">
        <f>"6018"</f>
        <v>6018</v>
      </c>
      <c r="E267" t="s">
        <v>5537</v>
      </c>
      <c r="F267" t="s">
        <v>6984</v>
      </c>
      <c r="G267" t="str">
        <f>"02.02.2015"</f>
        <v>02.02.2015</v>
      </c>
      <c r="H267" t="s">
        <v>6985</v>
      </c>
      <c r="I267" t="s">
        <v>6986</v>
      </c>
      <c r="J267" t="s">
        <v>6987</v>
      </c>
      <c r="K267" t="s">
        <v>5191</v>
      </c>
    </row>
    <row r="268" spans="1:11" x14ac:dyDescent="0.2">
      <c r="A268" t="s">
        <v>6988</v>
      </c>
      <c r="B268" t="s">
        <v>6989</v>
      </c>
      <c r="C268" t="s">
        <v>6990</v>
      </c>
      <c r="D268" t="str">
        <f>"4006"</f>
        <v>4006</v>
      </c>
      <c r="E268" t="s">
        <v>5317</v>
      </c>
      <c r="F268" t="s">
        <v>6991</v>
      </c>
      <c r="G268" t="str">
        <f>"04.10.2017"</f>
        <v>04.10.2017</v>
      </c>
      <c r="H268" t="s">
        <v>6992</v>
      </c>
      <c r="I268" t="s">
        <v>6993</v>
      </c>
      <c r="J268" t="s">
        <v>6994</v>
      </c>
      <c r="K268" t="s">
        <v>19</v>
      </c>
    </row>
    <row r="269" spans="1:11" x14ac:dyDescent="0.2">
      <c r="A269" t="s">
        <v>6995</v>
      </c>
      <c r="B269" t="s">
        <v>6996</v>
      </c>
      <c r="C269" t="s">
        <v>6997</v>
      </c>
      <c r="D269" t="str">
        <f>"0187"</f>
        <v>0187</v>
      </c>
      <c r="E269" t="s">
        <v>5185</v>
      </c>
      <c r="F269" t="s">
        <v>6998</v>
      </c>
      <c r="G269" t="str">
        <f>"25.09.2020"</f>
        <v>25.09.2020</v>
      </c>
      <c r="H269" t="s">
        <v>6999</v>
      </c>
      <c r="I269" t="s">
        <v>7000</v>
      </c>
      <c r="J269" t="s">
        <v>7001</v>
      </c>
      <c r="K269" t="s">
        <v>19</v>
      </c>
    </row>
  </sheetData>
  <phoneticPr fontId="3" type="noConversion"/>
  <pageMargins left="0.7" right="0.7" top="0.75" bottom="0.75" header="0.3" footer="0.3"/>
  <pageSetup paperSize="9" orientation="portrait" horizontalDpi="0" verticalDpi="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69"/>
  <sheetViews>
    <sheetView workbookViewId="0">
      <selection activeCell="H17" sqref="H17"/>
    </sheetView>
  </sheetViews>
  <sheetFormatPr baseColWidth="10" defaultRowHeight="16" x14ac:dyDescent="0.2"/>
  <cols>
    <col min="1" max="1" width="41.1640625" customWidth="1"/>
    <col min="2" max="2" width="17.1640625" customWidth="1"/>
    <col min="6" max="6" width="23.83203125" customWidth="1"/>
    <col min="8" max="8" width="140.1640625" customWidth="1"/>
    <col min="10" max="10" width="90" customWidth="1"/>
  </cols>
  <sheetData>
    <row r="1" s="4" customFormat="1" x14ac:dyDescent="0.2"/>
    <row r="2" s="4" customFormat="1" x14ac:dyDescent="0.2"/>
    <row r="3" s="4" customFormat="1" x14ac:dyDescent="0.2"/>
    <row r="4" s="4" customFormat="1" x14ac:dyDescent="0.2"/>
    <row r="5" s="4" customFormat="1" x14ac:dyDescent="0.2"/>
    <row r="6" s="4" customFormat="1" x14ac:dyDescent="0.2"/>
    <row r="7" s="4" customFormat="1" x14ac:dyDescent="0.2"/>
    <row r="8" s="4" customFormat="1" x14ac:dyDescent="0.2"/>
    <row r="9" s="4" customFormat="1" x14ac:dyDescent="0.2"/>
    <row r="10" s="4" customFormat="1" x14ac:dyDescent="0.2"/>
    <row r="11" s="4" customFormat="1" x14ac:dyDescent="0.2"/>
    <row r="12" s="4" customFormat="1" x14ac:dyDescent="0.2"/>
    <row r="13" s="4" customFormat="1" x14ac:dyDescent="0.2"/>
    <row r="14" s="4" customFormat="1" x14ac:dyDescent="0.2"/>
    <row r="15" s="4" customFormat="1" x14ac:dyDescent="0.2"/>
    <row r="16" s="4" customFormat="1" x14ac:dyDescent="0.2"/>
    <row r="17" spans="1:11" s="4" customFormat="1" x14ac:dyDescent="0.2"/>
    <row r="18" spans="1:11" s="4" customFormat="1" x14ac:dyDescent="0.2"/>
    <row r="19" spans="1:11" s="2" customFormat="1" x14ac:dyDescent="0.2">
      <c r="A19" s="2" t="s">
        <v>0</v>
      </c>
      <c r="B19" s="2" t="s">
        <v>1</v>
      </c>
      <c r="C19" s="2" t="s">
        <v>2</v>
      </c>
      <c r="D19" s="2" t="s">
        <v>3</v>
      </c>
      <c r="E19" s="2" t="s">
        <v>4</v>
      </c>
      <c r="F19" s="2" t="s">
        <v>5</v>
      </c>
      <c r="G19" s="2" t="s">
        <v>6</v>
      </c>
      <c r="H19" s="2" t="s">
        <v>7</v>
      </c>
      <c r="I19" s="2" t="s">
        <v>8</v>
      </c>
      <c r="J19" s="2" t="s">
        <v>9</v>
      </c>
      <c r="K19" s="2" t="s">
        <v>10</v>
      </c>
    </row>
    <row r="20" spans="1:11" x14ac:dyDescent="0.2">
      <c r="A20" t="s">
        <v>11</v>
      </c>
      <c r="B20" t="s">
        <v>12</v>
      </c>
      <c r="C20" t="s">
        <v>13</v>
      </c>
      <c r="D20" t="str">
        <f>"2100"</f>
        <v>2100</v>
      </c>
      <c r="E20" t="s">
        <v>14</v>
      </c>
      <c r="F20" t="s">
        <v>15</v>
      </c>
      <c r="G20" t="str">
        <f>"18.05.2010"</f>
        <v>18.05.2010</v>
      </c>
      <c r="H20" t="s">
        <v>16</v>
      </c>
      <c r="I20" t="s">
        <v>17</v>
      </c>
      <c r="J20" t="s">
        <v>18</v>
      </c>
      <c r="K20" t="s">
        <v>19</v>
      </c>
    </row>
    <row r="21" spans="1:11" x14ac:dyDescent="0.2">
      <c r="A21" t="s">
        <v>20</v>
      </c>
      <c r="B21" t="s">
        <v>21</v>
      </c>
      <c r="C21" t="s">
        <v>22</v>
      </c>
      <c r="D21" t="str">
        <f>"2800"</f>
        <v>2800</v>
      </c>
      <c r="E21" t="s">
        <v>23</v>
      </c>
      <c r="F21" t="s">
        <v>24</v>
      </c>
      <c r="G21" t="str">
        <f>"28.06.2013"</f>
        <v>28.06.2013</v>
      </c>
      <c r="H21" t="s">
        <v>25</v>
      </c>
      <c r="I21" t="s">
        <v>26</v>
      </c>
      <c r="J21" t="s">
        <v>27</v>
      </c>
      <c r="K21" t="s">
        <v>28</v>
      </c>
    </row>
    <row r="22" spans="1:11" x14ac:dyDescent="0.2">
      <c r="A22" t="s">
        <v>29</v>
      </c>
      <c r="B22" t="s">
        <v>30</v>
      </c>
      <c r="C22" t="s">
        <v>31</v>
      </c>
      <c r="D22" t="str">
        <f>"3460"</f>
        <v>3460</v>
      </c>
      <c r="E22" t="s">
        <v>32</v>
      </c>
      <c r="F22" t="s">
        <v>33</v>
      </c>
      <c r="G22" t="str">
        <f>"29.06.1998"</f>
        <v>29.06.1998</v>
      </c>
      <c r="H22" t="s">
        <v>34</v>
      </c>
      <c r="I22" t="s">
        <v>35</v>
      </c>
      <c r="J22" t="s">
        <v>36</v>
      </c>
      <c r="K22" t="s">
        <v>37</v>
      </c>
    </row>
    <row r="23" spans="1:11" x14ac:dyDescent="0.2">
      <c r="A23" t="s">
        <v>38</v>
      </c>
      <c r="B23" t="s">
        <v>39</v>
      </c>
      <c r="C23" t="s">
        <v>40</v>
      </c>
      <c r="D23" t="str">
        <f>"2100"</f>
        <v>2100</v>
      </c>
      <c r="E23" t="s">
        <v>14</v>
      </c>
      <c r="F23" t="s">
        <v>41</v>
      </c>
      <c r="G23" t="str">
        <f>"02.12.1999"</f>
        <v>02.12.1999</v>
      </c>
      <c r="H23" t="s">
        <v>42</v>
      </c>
      <c r="I23" t="s">
        <v>43</v>
      </c>
      <c r="J23" t="s">
        <v>44</v>
      </c>
      <c r="K23" t="s">
        <v>19</v>
      </c>
    </row>
    <row r="24" spans="1:11" x14ac:dyDescent="0.2">
      <c r="A24" t="s">
        <v>45</v>
      </c>
      <c r="B24" t="s">
        <v>46</v>
      </c>
      <c r="C24" t="s">
        <v>47</v>
      </c>
      <c r="D24" t="str">
        <f>"1175"</f>
        <v>1175</v>
      </c>
      <c r="E24" t="s">
        <v>48</v>
      </c>
      <c r="F24" t="s">
        <v>49</v>
      </c>
      <c r="G24" t="str">
        <f>"06.02.2015"</f>
        <v>06.02.2015</v>
      </c>
      <c r="H24" t="s">
        <v>50</v>
      </c>
      <c r="I24" t="s">
        <v>51</v>
      </c>
      <c r="J24" t="s">
        <v>52</v>
      </c>
      <c r="K24" t="s">
        <v>19</v>
      </c>
    </row>
    <row r="25" spans="1:11" x14ac:dyDescent="0.2">
      <c r="A25" t="s">
        <v>53</v>
      </c>
      <c r="B25" t="s">
        <v>54</v>
      </c>
      <c r="C25" t="s">
        <v>55</v>
      </c>
      <c r="D25" t="str">
        <f>"1437"</f>
        <v>1437</v>
      </c>
      <c r="E25" t="s">
        <v>48</v>
      </c>
      <c r="F25" t="s">
        <v>56</v>
      </c>
      <c r="G25" t="str">
        <f>"22.01.2007"</f>
        <v>22.01.2007</v>
      </c>
      <c r="H25" t="s">
        <v>57</v>
      </c>
      <c r="I25" t="s">
        <v>58</v>
      </c>
      <c r="J25" t="s">
        <v>59</v>
      </c>
      <c r="K25" t="s">
        <v>28</v>
      </c>
    </row>
    <row r="26" spans="1:11" x14ac:dyDescent="0.2">
      <c r="A26" t="s">
        <v>60</v>
      </c>
      <c r="B26" t="s">
        <v>61</v>
      </c>
      <c r="C26" t="s">
        <v>62</v>
      </c>
      <c r="D26" t="str">
        <f>"8000"</f>
        <v>8000</v>
      </c>
      <c r="E26" t="s">
        <v>63</v>
      </c>
      <c r="F26" t="s">
        <v>64</v>
      </c>
      <c r="G26" t="str">
        <f>"20.12.2018"</f>
        <v>20.12.2018</v>
      </c>
      <c r="H26" t="s">
        <v>65</v>
      </c>
      <c r="I26" t="s">
        <v>66</v>
      </c>
      <c r="J26" t="s">
        <v>67</v>
      </c>
      <c r="K26" t="s">
        <v>28</v>
      </c>
    </row>
    <row r="27" spans="1:11" x14ac:dyDescent="0.2">
      <c r="A27" t="s">
        <v>68</v>
      </c>
      <c r="B27" t="s">
        <v>69</v>
      </c>
      <c r="C27" t="s">
        <v>70</v>
      </c>
      <c r="D27" t="str">
        <f>"2970"</f>
        <v>2970</v>
      </c>
      <c r="E27" t="s">
        <v>71</v>
      </c>
      <c r="F27" t="s">
        <v>72</v>
      </c>
      <c r="G27" t="str">
        <f>"04.03.2009"</f>
        <v>04.03.2009</v>
      </c>
      <c r="H27" t="s">
        <v>73</v>
      </c>
      <c r="I27" t="s">
        <v>74</v>
      </c>
      <c r="J27" t="s">
        <v>75</v>
      </c>
      <c r="K27" t="s">
        <v>28</v>
      </c>
    </row>
    <row r="28" spans="1:11" x14ac:dyDescent="0.2">
      <c r="A28" t="s">
        <v>76</v>
      </c>
      <c r="B28" t="s">
        <v>77</v>
      </c>
      <c r="C28" t="s">
        <v>78</v>
      </c>
      <c r="D28" t="str">
        <f>"2400"</f>
        <v>2400</v>
      </c>
      <c r="E28" t="s">
        <v>79</v>
      </c>
      <c r="F28" t="s">
        <v>80</v>
      </c>
      <c r="G28" t="str">
        <f>"31.01.2012"</f>
        <v>31.01.2012</v>
      </c>
      <c r="H28" t="s">
        <v>81</v>
      </c>
      <c r="I28" t="s">
        <v>82</v>
      </c>
      <c r="J28" t="s">
        <v>83</v>
      </c>
      <c r="K28" t="s">
        <v>19</v>
      </c>
    </row>
    <row r="29" spans="1:11" x14ac:dyDescent="0.2">
      <c r="A29" t="s">
        <v>84</v>
      </c>
      <c r="B29" t="s">
        <v>85</v>
      </c>
      <c r="C29" t="s">
        <v>86</v>
      </c>
      <c r="D29" t="str">
        <f>"1112"</f>
        <v>1112</v>
      </c>
      <c r="E29" t="s">
        <v>48</v>
      </c>
      <c r="F29" t="s">
        <v>87</v>
      </c>
      <c r="G29" t="str">
        <f>"08.05.2013"</f>
        <v>08.05.2013</v>
      </c>
      <c r="H29" t="s">
        <v>88</v>
      </c>
      <c r="I29" t="s">
        <v>89</v>
      </c>
      <c r="J29" t="s">
        <v>90</v>
      </c>
      <c r="K29" t="s">
        <v>19</v>
      </c>
    </row>
    <row r="30" spans="1:11" x14ac:dyDescent="0.2">
      <c r="A30" t="s">
        <v>91</v>
      </c>
      <c r="B30" t="s">
        <v>92</v>
      </c>
      <c r="C30" t="s">
        <v>93</v>
      </c>
      <c r="D30" t="str">
        <f>"5250"</f>
        <v>5250</v>
      </c>
      <c r="E30" t="s">
        <v>94</v>
      </c>
      <c r="F30" t="s">
        <v>95</v>
      </c>
      <c r="G30" t="str">
        <f>"09.02.2017"</f>
        <v>09.02.2017</v>
      </c>
      <c r="H30" t="s">
        <v>96</v>
      </c>
      <c r="I30" t="s">
        <v>97</v>
      </c>
      <c r="J30" t="s">
        <v>98</v>
      </c>
      <c r="K30" t="s">
        <v>19</v>
      </c>
    </row>
    <row r="31" spans="1:11" x14ac:dyDescent="0.2">
      <c r="A31" t="s">
        <v>99</v>
      </c>
      <c r="B31" t="s">
        <v>100</v>
      </c>
      <c r="C31" t="s">
        <v>101</v>
      </c>
      <c r="D31" t="str">
        <f>"6400"</f>
        <v>6400</v>
      </c>
      <c r="E31" t="s">
        <v>102</v>
      </c>
      <c r="F31" t="s">
        <v>103</v>
      </c>
      <c r="G31" t="str">
        <f>"31.10.2016"</f>
        <v>31.10.2016</v>
      </c>
      <c r="H31" t="s">
        <v>104</v>
      </c>
      <c r="I31" t="s">
        <v>105</v>
      </c>
      <c r="J31" t="s">
        <v>106</v>
      </c>
      <c r="K31" t="s">
        <v>28</v>
      </c>
    </row>
    <row r="32" spans="1:11" x14ac:dyDescent="0.2">
      <c r="A32" t="s">
        <v>107</v>
      </c>
      <c r="B32" t="s">
        <v>108</v>
      </c>
      <c r="C32" t="s">
        <v>109</v>
      </c>
      <c r="D32" t="str">
        <f>"8000"</f>
        <v>8000</v>
      </c>
      <c r="E32" t="s">
        <v>63</v>
      </c>
      <c r="F32" t="s">
        <v>110</v>
      </c>
      <c r="G32" t="str">
        <f>"29.06.2018"</f>
        <v>29.06.2018</v>
      </c>
      <c r="H32" t="s">
        <v>111</v>
      </c>
      <c r="I32" t="s">
        <v>112</v>
      </c>
      <c r="J32" t="s">
        <v>113</v>
      </c>
      <c r="K32" t="s">
        <v>28</v>
      </c>
    </row>
    <row r="33" spans="1:11" x14ac:dyDescent="0.2">
      <c r="A33" t="s">
        <v>114</v>
      </c>
      <c r="B33" t="s">
        <v>115</v>
      </c>
      <c r="C33" t="s">
        <v>116</v>
      </c>
      <c r="D33" t="str">
        <f>"8000"</f>
        <v>8000</v>
      </c>
      <c r="E33" t="s">
        <v>63</v>
      </c>
      <c r="F33" t="s">
        <v>117</v>
      </c>
      <c r="G33" t="str">
        <f>"14.06.2016"</f>
        <v>14.06.2016</v>
      </c>
      <c r="H33" t="s">
        <v>118</v>
      </c>
      <c r="I33" t="s">
        <v>119</v>
      </c>
      <c r="J33" t="s">
        <v>120</v>
      </c>
      <c r="K33" t="s">
        <v>121</v>
      </c>
    </row>
    <row r="34" spans="1:11" x14ac:dyDescent="0.2">
      <c r="A34" t="s">
        <v>122</v>
      </c>
      <c r="B34" t="s">
        <v>123</v>
      </c>
      <c r="C34" t="s">
        <v>124</v>
      </c>
      <c r="D34" t="str">
        <f>"8000"</f>
        <v>8000</v>
      </c>
      <c r="E34" t="s">
        <v>63</v>
      </c>
      <c r="F34" t="s">
        <v>125</v>
      </c>
      <c r="G34" t="str">
        <f>"06.01.2016"</f>
        <v>06.01.2016</v>
      </c>
      <c r="H34" t="s">
        <v>126</v>
      </c>
      <c r="I34" t="s">
        <v>127</v>
      </c>
      <c r="J34" t="s">
        <v>128</v>
      </c>
      <c r="K34" t="s">
        <v>19</v>
      </c>
    </row>
    <row r="35" spans="1:11" x14ac:dyDescent="0.2">
      <c r="A35" t="s">
        <v>129</v>
      </c>
      <c r="B35" t="s">
        <v>130</v>
      </c>
      <c r="C35" t="s">
        <v>131</v>
      </c>
      <c r="D35" t="str">
        <f>"9200"</f>
        <v>9200</v>
      </c>
      <c r="E35" t="s">
        <v>132</v>
      </c>
      <c r="F35" t="s">
        <v>133</v>
      </c>
      <c r="G35" t="str">
        <f>"07.07.2017"</f>
        <v>07.07.2017</v>
      </c>
      <c r="H35" t="s">
        <v>134</v>
      </c>
      <c r="I35" t="s">
        <v>135</v>
      </c>
      <c r="J35" t="s">
        <v>136</v>
      </c>
      <c r="K35" t="s">
        <v>28</v>
      </c>
    </row>
    <row r="36" spans="1:11" x14ac:dyDescent="0.2">
      <c r="A36" t="s">
        <v>137</v>
      </c>
      <c r="B36" t="s">
        <v>138</v>
      </c>
      <c r="C36" t="s">
        <v>139</v>
      </c>
      <c r="D36" t="str">
        <f>"1561"</f>
        <v>1561</v>
      </c>
      <c r="E36" t="s">
        <v>140</v>
      </c>
      <c r="F36" t="s">
        <v>141</v>
      </c>
      <c r="G36" t="str">
        <f>"15.11.2018"</f>
        <v>15.11.2018</v>
      </c>
      <c r="H36" t="s">
        <v>142</v>
      </c>
      <c r="I36" t="s">
        <v>143</v>
      </c>
      <c r="J36" t="s">
        <v>144</v>
      </c>
      <c r="K36" t="s">
        <v>19</v>
      </c>
    </row>
    <row r="37" spans="1:11" x14ac:dyDescent="0.2">
      <c r="A37" t="s">
        <v>145</v>
      </c>
      <c r="B37" t="s">
        <v>146</v>
      </c>
      <c r="C37" t="s">
        <v>147</v>
      </c>
      <c r="D37" t="str">
        <f>"2000"</f>
        <v>2000</v>
      </c>
      <c r="E37" t="s">
        <v>148</v>
      </c>
      <c r="F37" t="s">
        <v>149</v>
      </c>
      <c r="G37" t="str">
        <f>"01.05.2018"</f>
        <v>01.05.2018</v>
      </c>
      <c r="H37" t="s">
        <v>150</v>
      </c>
      <c r="I37" t="s">
        <v>151</v>
      </c>
      <c r="J37" t="s">
        <v>152</v>
      </c>
      <c r="K37" t="s">
        <v>28</v>
      </c>
    </row>
    <row r="38" spans="1:11" x14ac:dyDescent="0.2">
      <c r="A38" t="s">
        <v>153</v>
      </c>
      <c r="B38" t="s">
        <v>154</v>
      </c>
      <c r="C38" t="s">
        <v>155</v>
      </c>
      <c r="D38" t="str">
        <f>"2610"</f>
        <v>2610</v>
      </c>
      <c r="E38" t="s">
        <v>156</v>
      </c>
      <c r="F38" t="s">
        <v>157</v>
      </c>
      <c r="G38" t="str">
        <f>"29.05.2019"</f>
        <v>29.05.2019</v>
      </c>
      <c r="H38" t="s">
        <v>158</v>
      </c>
      <c r="I38" t="s">
        <v>159</v>
      </c>
      <c r="J38" t="s">
        <v>160</v>
      </c>
      <c r="K38" t="s">
        <v>161</v>
      </c>
    </row>
    <row r="39" spans="1:11" x14ac:dyDescent="0.2">
      <c r="A39" t="s">
        <v>162</v>
      </c>
      <c r="B39" t="s">
        <v>163</v>
      </c>
      <c r="C39" t="s">
        <v>164</v>
      </c>
      <c r="D39" t="str">
        <f>"8541"</f>
        <v>8541</v>
      </c>
      <c r="E39" t="s">
        <v>165</v>
      </c>
      <c r="F39" t="s">
        <v>166</v>
      </c>
      <c r="G39" t="str">
        <f>"20.08.2020"</f>
        <v>20.08.2020</v>
      </c>
      <c r="H39" t="s">
        <v>167</v>
      </c>
      <c r="I39" t="s">
        <v>168</v>
      </c>
      <c r="J39" t="s">
        <v>169</v>
      </c>
      <c r="K39" t="s">
        <v>170</v>
      </c>
    </row>
    <row r="40" spans="1:11" x14ac:dyDescent="0.2">
      <c r="A40" t="s">
        <v>171</v>
      </c>
      <c r="B40" t="s">
        <v>172</v>
      </c>
      <c r="C40" t="s">
        <v>173</v>
      </c>
      <c r="D40" t="str">
        <f>"6000"</f>
        <v>6000</v>
      </c>
      <c r="E40" t="s">
        <v>174</v>
      </c>
      <c r="F40" t="s">
        <v>175</v>
      </c>
      <c r="G40" t="str">
        <f>"09.02.2017"</f>
        <v>09.02.2017</v>
      </c>
      <c r="H40" t="s">
        <v>176</v>
      </c>
      <c r="I40" t="s">
        <v>177</v>
      </c>
      <c r="J40" t="s">
        <v>178</v>
      </c>
      <c r="K40" t="s">
        <v>179</v>
      </c>
    </row>
    <row r="41" spans="1:11" x14ac:dyDescent="0.2">
      <c r="A41" t="s">
        <v>180</v>
      </c>
      <c r="B41" t="s">
        <v>181</v>
      </c>
      <c r="C41" t="s">
        <v>182</v>
      </c>
      <c r="D41" t="str">
        <f>"3400"</f>
        <v>3400</v>
      </c>
      <c r="E41" t="s">
        <v>183</v>
      </c>
      <c r="F41" t="s">
        <v>184</v>
      </c>
      <c r="G41" t="str">
        <f>"04.06.2020"</f>
        <v>04.06.2020</v>
      </c>
      <c r="H41" t="s">
        <v>185</v>
      </c>
      <c r="I41" t="s">
        <v>186</v>
      </c>
      <c r="J41" t="s">
        <v>187</v>
      </c>
      <c r="K41" t="s">
        <v>28</v>
      </c>
    </row>
    <row r="42" spans="1:11" x14ac:dyDescent="0.2">
      <c r="A42" t="s">
        <v>188</v>
      </c>
      <c r="B42" t="s">
        <v>189</v>
      </c>
      <c r="C42" t="s">
        <v>190</v>
      </c>
      <c r="D42" t="str">
        <f>"1111"</f>
        <v>1111</v>
      </c>
      <c r="E42" t="s">
        <v>48</v>
      </c>
      <c r="F42" t="s">
        <v>191</v>
      </c>
      <c r="G42" t="str">
        <f>"17.01.2018"</f>
        <v>17.01.2018</v>
      </c>
      <c r="H42" t="s">
        <v>192</v>
      </c>
      <c r="I42" t="s">
        <v>193</v>
      </c>
      <c r="J42" t="s">
        <v>194</v>
      </c>
      <c r="K42" t="s">
        <v>28</v>
      </c>
    </row>
    <row r="43" spans="1:11" x14ac:dyDescent="0.2">
      <c r="A43" t="s">
        <v>195</v>
      </c>
      <c r="B43" t="s">
        <v>196</v>
      </c>
      <c r="C43" t="s">
        <v>197</v>
      </c>
      <c r="D43" t="str">
        <f>"4220"</f>
        <v>4220</v>
      </c>
      <c r="E43" t="s">
        <v>198</v>
      </c>
      <c r="F43" t="s">
        <v>199</v>
      </c>
      <c r="G43" t="str">
        <f>"12.04.1964"</f>
        <v>12.04.1964</v>
      </c>
      <c r="H43" t="s">
        <v>200</v>
      </c>
      <c r="I43" t="s">
        <v>201</v>
      </c>
      <c r="J43" t="s">
        <v>202</v>
      </c>
      <c r="K43" t="s">
        <v>203</v>
      </c>
    </row>
    <row r="44" spans="1:11" x14ac:dyDescent="0.2">
      <c r="A44" t="s">
        <v>204</v>
      </c>
      <c r="B44" t="s">
        <v>205</v>
      </c>
      <c r="C44" t="s">
        <v>206</v>
      </c>
      <c r="D44" t="str">
        <f>"1799"</f>
        <v>1799</v>
      </c>
      <c r="E44" t="s">
        <v>140</v>
      </c>
      <c r="F44" t="s">
        <v>207</v>
      </c>
      <c r="G44" t="str">
        <f>"07.12.2016"</f>
        <v>07.12.2016</v>
      </c>
      <c r="H44" t="s">
        <v>208</v>
      </c>
      <c r="I44" t="s">
        <v>209</v>
      </c>
      <c r="J44" t="s">
        <v>210</v>
      </c>
      <c r="K44" t="s">
        <v>19</v>
      </c>
    </row>
    <row r="45" spans="1:11" x14ac:dyDescent="0.2">
      <c r="A45" t="s">
        <v>211</v>
      </c>
      <c r="B45" t="s">
        <v>212</v>
      </c>
      <c r="C45" t="s">
        <v>213</v>
      </c>
      <c r="D45" t="str">
        <f>"1717"</f>
        <v>1717</v>
      </c>
      <c r="E45" t="s">
        <v>140</v>
      </c>
      <c r="F45" t="s">
        <v>214</v>
      </c>
      <c r="G45" t="str">
        <f>"30.04.2020"</f>
        <v>30.04.2020</v>
      </c>
      <c r="H45" t="s">
        <v>215</v>
      </c>
      <c r="I45" t="s">
        <v>216</v>
      </c>
      <c r="J45" t="s">
        <v>217</v>
      </c>
      <c r="K45" t="s">
        <v>28</v>
      </c>
    </row>
    <row r="46" spans="1:11" x14ac:dyDescent="0.2">
      <c r="A46" t="s">
        <v>218</v>
      </c>
      <c r="B46" t="s">
        <v>219</v>
      </c>
      <c r="C46" t="s">
        <v>220</v>
      </c>
      <c r="D46" t="str">
        <f>"2450"</f>
        <v>2450</v>
      </c>
      <c r="E46" t="s">
        <v>221</v>
      </c>
      <c r="F46" t="s">
        <v>222</v>
      </c>
      <c r="G46" t="str">
        <f>"03.06.2015"</f>
        <v>03.06.2015</v>
      </c>
      <c r="H46" t="s">
        <v>223</v>
      </c>
      <c r="I46" t="s">
        <v>224</v>
      </c>
      <c r="J46" t="s">
        <v>225</v>
      </c>
      <c r="K46" t="s">
        <v>161</v>
      </c>
    </row>
    <row r="47" spans="1:11" x14ac:dyDescent="0.2">
      <c r="A47" t="s">
        <v>226</v>
      </c>
      <c r="B47" t="s">
        <v>227</v>
      </c>
      <c r="C47" t="s">
        <v>228</v>
      </c>
      <c r="D47" t="str">
        <f>"8200"</f>
        <v>8200</v>
      </c>
      <c r="E47" t="s">
        <v>229</v>
      </c>
      <c r="F47" t="s">
        <v>230</v>
      </c>
      <c r="G47" t="str">
        <f>"17.02.2014"</f>
        <v>17.02.2014</v>
      </c>
      <c r="H47" t="s">
        <v>231</v>
      </c>
      <c r="I47" t="s">
        <v>232</v>
      </c>
      <c r="J47" t="s">
        <v>233</v>
      </c>
      <c r="K47" t="s">
        <v>28</v>
      </c>
    </row>
    <row r="48" spans="1:11" x14ac:dyDescent="0.2">
      <c r="A48" t="s">
        <v>234</v>
      </c>
      <c r="B48" t="s">
        <v>235</v>
      </c>
      <c r="C48" t="s">
        <v>236</v>
      </c>
      <c r="D48" t="str">
        <f>"9000"</f>
        <v>9000</v>
      </c>
      <c r="E48" t="s">
        <v>237</v>
      </c>
      <c r="F48" t="s">
        <v>238</v>
      </c>
      <c r="G48" t="str">
        <f>"02.01.2003"</f>
        <v>02.01.2003</v>
      </c>
      <c r="H48" t="s">
        <v>239</v>
      </c>
      <c r="I48" t="s">
        <v>240</v>
      </c>
      <c r="J48" t="s">
        <v>241</v>
      </c>
      <c r="K48" t="s">
        <v>28</v>
      </c>
    </row>
    <row r="49" spans="1:11" x14ac:dyDescent="0.2">
      <c r="A49" t="s">
        <v>242</v>
      </c>
      <c r="B49" t="s">
        <v>243</v>
      </c>
      <c r="C49" t="s">
        <v>244</v>
      </c>
      <c r="D49" t="str">
        <f>"2630"</f>
        <v>2630</v>
      </c>
      <c r="E49" t="s">
        <v>245</v>
      </c>
      <c r="F49" t="s">
        <v>246</v>
      </c>
      <c r="G49" t="str">
        <f>"01.03.1996"</f>
        <v>01.03.1996</v>
      </c>
      <c r="H49" t="s">
        <v>247</v>
      </c>
      <c r="I49" t="s">
        <v>248</v>
      </c>
      <c r="J49" t="s">
        <v>249</v>
      </c>
      <c r="K49" t="s">
        <v>19</v>
      </c>
    </row>
    <row r="50" spans="1:11" x14ac:dyDescent="0.2">
      <c r="A50" t="s">
        <v>250</v>
      </c>
      <c r="B50" t="s">
        <v>251</v>
      </c>
      <c r="C50" t="s">
        <v>252</v>
      </c>
      <c r="D50" t="str">
        <f>"2300"</f>
        <v>2300</v>
      </c>
      <c r="E50" t="s">
        <v>253</v>
      </c>
      <c r="F50" t="s">
        <v>254</v>
      </c>
      <c r="G50" t="str">
        <f>"27.02.2015"</f>
        <v>27.02.2015</v>
      </c>
      <c r="H50" t="s">
        <v>255</v>
      </c>
      <c r="I50" t="s">
        <v>256</v>
      </c>
      <c r="J50" t="s">
        <v>257</v>
      </c>
      <c r="K50" t="s">
        <v>37</v>
      </c>
    </row>
    <row r="51" spans="1:11" x14ac:dyDescent="0.2">
      <c r="A51" t="s">
        <v>258</v>
      </c>
      <c r="B51" t="s">
        <v>259</v>
      </c>
      <c r="C51" t="s">
        <v>260</v>
      </c>
      <c r="D51" t="str">
        <f>"2300"</f>
        <v>2300</v>
      </c>
      <c r="E51" t="s">
        <v>253</v>
      </c>
      <c r="F51" t="s">
        <v>261</v>
      </c>
      <c r="G51" t="str">
        <f>"27.09.2011"</f>
        <v>27.09.2011</v>
      </c>
      <c r="H51" t="s">
        <v>262</v>
      </c>
      <c r="I51" t="s">
        <v>263</v>
      </c>
      <c r="J51" t="s">
        <v>264</v>
      </c>
      <c r="K51" t="s">
        <v>265</v>
      </c>
    </row>
    <row r="52" spans="1:11" x14ac:dyDescent="0.2">
      <c r="A52" t="s">
        <v>266</v>
      </c>
      <c r="B52" t="s">
        <v>267</v>
      </c>
      <c r="C52" t="s">
        <v>268</v>
      </c>
      <c r="D52" t="str">
        <f>"2200"</f>
        <v>2200</v>
      </c>
      <c r="E52" t="s">
        <v>269</v>
      </c>
      <c r="F52" t="s">
        <v>270</v>
      </c>
      <c r="G52" t="str">
        <f>"27.02.2009"</f>
        <v>27.02.2009</v>
      </c>
      <c r="H52" t="s">
        <v>271</v>
      </c>
      <c r="I52" t="s">
        <v>272</v>
      </c>
      <c r="J52" t="s">
        <v>273</v>
      </c>
      <c r="K52" t="s">
        <v>28</v>
      </c>
    </row>
    <row r="53" spans="1:11" x14ac:dyDescent="0.2">
      <c r="A53" t="s">
        <v>274</v>
      </c>
      <c r="B53" t="s">
        <v>275</v>
      </c>
      <c r="C53" t="s">
        <v>276</v>
      </c>
      <c r="D53" t="str">
        <f>"2860"</f>
        <v>2860</v>
      </c>
      <c r="E53" t="s">
        <v>277</v>
      </c>
      <c r="F53" t="s">
        <v>278</v>
      </c>
      <c r="G53" t="str">
        <f>"03.04.2012"</f>
        <v>03.04.2012</v>
      </c>
      <c r="H53" t="s">
        <v>279</v>
      </c>
      <c r="I53" t="s">
        <v>280</v>
      </c>
      <c r="J53" t="s">
        <v>281</v>
      </c>
      <c r="K53" t="s">
        <v>19</v>
      </c>
    </row>
    <row r="54" spans="1:11" x14ac:dyDescent="0.2">
      <c r="A54" t="s">
        <v>282</v>
      </c>
      <c r="B54" t="s">
        <v>283</v>
      </c>
      <c r="C54" t="s">
        <v>284</v>
      </c>
      <c r="D54" t="str">
        <f>"2200"</f>
        <v>2200</v>
      </c>
      <c r="E54" t="s">
        <v>269</v>
      </c>
      <c r="F54" t="s">
        <v>285</v>
      </c>
      <c r="G54" t="str">
        <f>"11.05.2015"</f>
        <v>11.05.2015</v>
      </c>
      <c r="H54" t="s">
        <v>286</v>
      </c>
      <c r="I54" t="s">
        <v>287</v>
      </c>
      <c r="J54" t="s">
        <v>288</v>
      </c>
      <c r="K54" t="s">
        <v>19</v>
      </c>
    </row>
    <row r="55" spans="1:11" x14ac:dyDescent="0.2">
      <c r="A55" t="s">
        <v>289</v>
      </c>
      <c r="B55" t="s">
        <v>290</v>
      </c>
      <c r="C55" t="s">
        <v>291</v>
      </c>
      <c r="D55" t="str">
        <f>"1100"</f>
        <v>1100</v>
      </c>
      <c r="E55" t="s">
        <v>48</v>
      </c>
      <c r="F55" t="s">
        <v>292</v>
      </c>
      <c r="G55" t="str">
        <f>"28.10.2015"</f>
        <v>28.10.2015</v>
      </c>
      <c r="H55" t="s">
        <v>293</v>
      </c>
      <c r="I55" t="s">
        <v>294</v>
      </c>
      <c r="J55" t="s">
        <v>295</v>
      </c>
      <c r="K55" t="s">
        <v>28</v>
      </c>
    </row>
    <row r="56" spans="1:11" x14ac:dyDescent="0.2">
      <c r="A56" t="s">
        <v>296</v>
      </c>
      <c r="B56" t="s">
        <v>297</v>
      </c>
      <c r="C56" t="s">
        <v>298</v>
      </c>
      <c r="D56" t="str">
        <f>"1371"</f>
        <v>1371</v>
      </c>
      <c r="E56" t="s">
        <v>48</v>
      </c>
      <c r="F56" t="s">
        <v>299</v>
      </c>
      <c r="G56" t="str">
        <f>"07.10.2016"</f>
        <v>07.10.2016</v>
      </c>
      <c r="H56" t="s">
        <v>300</v>
      </c>
      <c r="I56" t="s">
        <v>301</v>
      </c>
      <c r="J56" t="s">
        <v>302</v>
      </c>
      <c r="K56" t="s">
        <v>19</v>
      </c>
    </row>
    <row r="57" spans="1:11" x14ac:dyDescent="0.2">
      <c r="A57" t="s">
        <v>303</v>
      </c>
      <c r="B57" t="s">
        <v>304</v>
      </c>
      <c r="C57" t="s">
        <v>305</v>
      </c>
      <c r="D57" t="str">
        <f>"2200"</f>
        <v>2200</v>
      </c>
      <c r="E57" t="s">
        <v>269</v>
      </c>
      <c r="F57" t="s">
        <v>306</v>
      </c>
      <c r="G57" t="str">
        <f>"01.05.2009"</f>
        <v>01.05.2009</v>
      </c>
      <c r="H57" t="s">
        <v>307</v>
      </c>
      <c r="I57" t="s">
        <v>308</v>
      </c>
      <c r="J57" t="s">
        <v>309</v>
      </c>
      <c r="K57" t="s">
        <v>310</v>
      </c>
    </row>
    <row r="58" spans="1:11" x14ac:dyDescent="0.2">
      <c r="A58" t="s">
        <v>311</v>
      </c>
      <c r="B58" t="s">
        <v>312</v>
      </c>
      <c r="C58" t="s">
        <v>313</v>
      </c>
      <c r="D58" t="str">
        <f>"5250"</f>
        <v>5250</v>
      </c>
      <c r="E58" t="s">
        <v>94</v>
      </c>
      <c r="F58" t="s">
        <v>314</v>
      </c>
      <c r="G58" t="str">
        <f>"08.01.2018"</f>
        <v>08.01.2018</v>
      </c>
      <c r="H58" t="s">
        <v>315</v>
      </c>
      <c r="I58" t="s">
        <v>316</v>
      </c>
      <c r="J58" t="s">
        <v>317</v>
      </c>
      <c r="K58" t="s">
        <v>28</v>
      </c>
    </row>
    <row r="59" spans="1:11" x14ac:dyDescent="0.2">
      <c r="A59" t="s">
        <v>318</v>
      </c>
      <c r="B59" t="s">
        <v>319</v>
      </c>
      <c r="C59" t="s">
        <v>320</v>
      </c>
      <c r="D59" t="str">
        <f>"2860"</f>
        <v>2860</v>
      </c>
      <c r="E59" t="s">
        <v>277</v>
      </c>
      <c r="F59" t="s">
        <v>322</v>
      </c>
      <c r="G59" t="str">
        <f>"01.11.2015"</f>
        <v>01.11.2015</v>
      </c>
      <c r="H59" t="s">
        <v>323</v>
      </c>
      <c r="I59" t="s">
        <v>324</v>
      </c>
      <c r="J59" t="s">
        <v>325</v>
      </c>
      <c r="K59" t="s">
        <v>28</v>
      </c>
    </row>
    <row r="60" spans="1:11" x14ac:dyDescent="0.2">
      <c r="A60" t="s">
        <v>326</v>
      </c>
      <c r="B60" t="s">
        <v>327</v>
      </c>
      <c r="C60" t="s">
        <v>328</v>
      </c>
      <c r="D60" t="str">
        <f>"2670"</f>
        <v>2670</v>
      </c>
      <c r="E60" t="s">
        <v>329</v>
      </c>
      <c r="F60" t="s">
        <v>330</v>
      </c>
      <c r="G60" t="str">
        <f>"05.01.2021"</f>
        <v>05.01.2021</v>
      </c>
      <c r="H60" t="s">
        <v>331</v>
      </c>
      <c r="I60" t="s">
        <v>332</v>
      </c>
      <c r="J60" t="s">
        <v>333</v>
      </c>
      <c r="K60" t="s">
        <v>28</v>
      </c>
    </row>
    <row r="61" spans="1:11" x14ac:dyDescent="0.2">
      <c r="A61" t="s">
        <v>334</v>
      </c>
      <c r="B61" t="s">
        <v>335</v>
      </c>
      <c r="C61" t="s">
        <v>336</v>
      </c>
      <c r="D61" t="str">
        <f>"2605"</f>
        <v>2605</v>
      </c>
      <c r="E61" t="s">
        <v>337</v>
      </c>
      <c r="F61" t="s">
        <v>338</v>
      </c>
      <c r="G61" t="str">
        <f>"15.07.2010"</f>
        <v>15.07.2010</v>
      </c>
      <c r="H61" t="s">
        <v>339</v>
      </c>
      <c r="I61" t="s">
        <v>340</v>
      </c>
      <c r="J61" t="s">
        <v>341</v>
      </c>
      <c r="K61" t="s">
        <v>19</v>
      </c>
    </row>
    <row r="62" spans="1:11" x14ac:dyDescent="0.2">
      <c r="A62" t="s">
        <v>342</v>
      </c>
      <c r="B62" t="s">
        <v>343</v>
      </c>
      <c r="C62" t="s">
        <v>344</v>
      </c>
      <c r="D62" t="str">
        <f>"2450"</f>
        <v>2450</v>
      </c>
      <c r="E62" t="s">
        <v>221</v>
      </c>
      <c r="F62" t="s">
        <v>345</v>
      </c>
      <c r="G62" t="str">
        <f>"24.04.2015"</f>
        <v>24.04.2015</v>
      </c>
      <c r="H62" t="s">
        <v>346</v>
      </c>
      <c r="I62" t="s">
        <v>347</v>
      </c>
      <c r="J62" t="s">
        <v>348</v>
      </c>
      <c r="K62" t="s">
        <v>19</v>
      </c>
    </row>
    <row r="63" spans="1:11" x14ac:dyDescent="0.2">
      <c r="A63" t="s">
        <v>349</v>
      </c>
      <c r="B63" t="s">
        <v>350</v>
      </c>
      <c r="C63" t="s">
        <v>351</v>
      </c>
      <c r="D63" t="str">
        <f>"1263"</f>
        <v>1263</v>
      </c>
      <c r="E63" t="s">
        <v>48</v>
      </c>
      <c r="F63" t="s">
        <v>352</v>
      </c>
      <c r="G63" t="str">
        <f>"01.03.2016"</f>
        <v>01.03.2016</v>
      </c>
      <c r="H63" t="s">
        <v>353</v>
      </c>
      <c r="I63" t="s">
        <v>354</v>
      </c>
      <c r="J63" t="s">
        <v>355</v>
      </c>
      <c r="K63" t="s">
        <v>356</v>
      </c>
    </row>
    <row r="64" spans="1:11" x14ac:dyDescent="0.2">
      <c r="A64" t="s">
        <v>357</v>
      </c>
      <c r="B64" t="s">
        <v>358</v>
      </c>
      <c r="C64" t="s">
        <v>359</v>
      </c>
      <c r="D64" t="str">
        <f>"8000"</f>
        <v>8000</v>
      </c>
      <c r="E64" t="s">
        <v>63</v>
      </c>
      <c r="F64" t="s">
        <v>360</v>
      </c>
      <c r="G64" t="str">
        <f>"01.12.2016"</f>
        <v>01.12.2016</v>
      </c>
      <c r="H64" t="s">
        <v>361</v>
      </c>
      <c r="I64" t="s">
        <v>362</v>
      </c>
      <c r="J64" t="s">
        <v>363</v>
      </c>
      <c r="K64" t="s">
        <v>28</v>
      </c>
    </row>
    <row r="65" spans="1:11" x14ac:dyDescent="0.2">
      <c r="A65" t="s">
        <v>364</v>
      </c>
      <c r="B65" t="s">
        <v>365</v>
      </c>
      <c r="C65" t="s">
        <v>366</v>
      </c>
      <c r="D65" t="str">
        <f>"2100"</f>
        <v>2100</v>
      </c>
      <c r="E65" t="s">
        <v>14</v>
      </c>
      <c r="F65" t="s">
        <v>367</v>
      </c>
      <c r="G65" t="str">
        <f>"02.09.2019"</f>
        <v>02.09.2019</v>
      </c>
      <c r="H65" t="s">
        <v>368</v>
      </c>
      <c r="I65" t="s">
        <v>369</v>
      </c>
      <c r="J65" t="s">
        <v>370</v>
      </c>
      <c r="K65" t="s">
        <v>28</v>
      </c>
    </row>
    <row r="66" spans="1:11" x14ac:dyDescent="0.2">
      <c r="A66" t="s">
        <v>371</v>
      </c>
      <c r="B66" t="s">
        <v>372</v>
      </c>
      <c r="C66" t="s">
        <v>373</v>
      </c>
      <c r="D66" t="str">
        <f>"1300"</f>
        <v>1300</v>
      </c>
      <c r="E66" t="s">
        <v>48</v>
      </c>
      <c r="F66" t="s">
        <v>374</v>
      </c>
      <c r="G66" t="str">
        <f>"26.03.2014"</f>
        <v>26.03.2014</v>
      </c>
      <c r="H66" t="s">
        <v>375</v>
      </c>
      <c r="I66" t="s">
        <v>376</v>
      </c>
      <c r="J66" t="s">
        <v>377</v>
      </c>
      <c r="K66" t="s">
        <v>28</v>
      </c>
    </row>
    <row r="67" spans="1:11" x14ac:dyDescent="0.2">
      <c r="A67" t="s">
        <v>378</v>
      </c>
      <c r="B67" t="s">
        <v>379</v>
      </c>
      <c r="C67" t="s">
        <v>380</v>
      </c>
      <c r="D67" t="str">
        <f>"2400"</f>
        <v>2400</v>
      </c>
      <c r="E67" t="s">
        <v>79</v>
      </c>
      <c r="F67" t="s">
        <v>381</v>
      </c>
      <c r="G67" t="str">
        <f>"01.09.2020"</f>
        <v>01.09.2020</v>
      </c>
      <c r="H67" t="s">
        <v>382</v>
      </c>
      <c r="I67" t="s">
        <v>383</v>
      </c>
      <c r="J67" t="s">
        <v>384</v>
      </c>
      <c r="K67" t="s">
        <v>385</v>
      </c>
    </row>
    <row r="68" spans="1:11" x14ac:dyDescent="0.2">
      <c r="A68" t="s">
        <v>386</v>
      </c>
      <c r="B68" t="s">
        <v>387</v>
      </c>
      <c r="C68" t="s">
        <v>388</v>
      </c>
      <c r="D68" t="str">
        <f>"4300"</f>
        <v>4300</v>
      </c>
      <c r="E68" t="s">
        <v>389</v>
      </c>
      <c r="F68" t="s">
        <v>390</v>
      </c>
      <c r="G68" t="str">
        <f>"27.05.2015"</f>
        <v>27.05.2015</v>
      </c>
      <c r="H68" t="s">
        <v>391</v>
      </c>
      <c r="I68" t="s">
        <v>392</v>
      </c>
      <c r="J68" t="s">
        <v>393</v>
      </c>
      <c r="K68" t="s">
        <v>161</v>
      </c>
    </row>
    <row r="69" spans="1:11" x14ac:dyDescent="0.2">
      <c r="A69" t="s">
        <v>394</v>
      </c>
      <c r="B69" t="s">
        <v>395</v>
      </c>
      <c r="C69" t="s">
        <v>396</v>
      </c>
      <c r="D69" t="str">
        <f>"8000"</f>
        <v>8000</v>
      </c>
      <c r="E69" t="s">
        <v>63</v>
      </c>
      <c r="F69" t="s">
        <v>397</v>
      </c>
      <c r="G69" t="str">
        <f>"27.01.2016"</f>
        <v>27.01.2016</v>
      </c>
      <c r="H69" t="s">
        <v>398</v>
      </c>
      <c r="I69" t="s">
        <v>399</v>
      </c>
      <c r="J69" t="s">
        <v>400</v>
      </c>
      <c r="K69" t="s">
        <v>401</v>
      </c>
    </row>
    <row r="70" spans="1:11" x14ac:dyDescent="0.2">
      <c r="A70" t="s">
        <v>402</v>
      </c>
      <c r="B70" t="s">
        <v>403</v>
      </c>
      <c r="C70" t="s">
        <v>404</v>
      </c>
      <c r="D70" t="str">
        <f>"8520"</f>
        <v>8520</v>
      </c>
      <c r="E70" t="s">
        <v>405</v>
      </c>
      <c r="F70" t="s">
        <v>406</v>
      </c>
      <c r="G70" t="str">
        <f>"30.08.2018"</f>
        <v>30.08.2018</v>
      </c>
      <c r="H70" t="s">
        <v>407</v>
      </c>
      <c r="I70" t="s">
        <v>408</v>
      </c>
      <c r="J70" t="s">
        <v>409</v>
      </c>
      <c r="K70" t="s">
        <v>410</v>
      </c>
    </row>
    <row r="71" spans="1:11" x14ac:dyDescent="0.2">
      <c r="A71" t="s">
        <v>411</v>
      </c>
      <c r="B71" t="s">
        <v>412</v>
      </c>
      <c r="C71" t="s">
        <v>413</v>
      </c>
      <c r="D71" t="str">
        <f>"1105"</f>
        <v>1105</v>
      </c>
      <c r="E71" t="s">
        <v>48</v>
      </c>
      <c r="F71" t="s">
        <v>414</v>
      </c>
      <c r="G71" t="str">
        <f>"29.06.2017"</f>
        <v>29.06.2017</v>
      </c>
      <c r="H71" t="s">
        <v>415</v>
      </c>
      <c r="I71" t="s">
        <v>416</v>
      </c>
      <c r="J71" t="s">
        <v>417</v>
      </c>
      <c r="K71" t="s">
        <v>418</v>
      </c>
    </row>
    <row r="72" spans="1:11" x14ac:dyDescent="0.2">
      <c r="A72" t="s">
        <v>419</v>
      </c>
      <c r="B72" t="s">
        <v>420</v>
      </c>
      <c r="C72" t="s">
        <v>421</v>
      </c>
      <c r="D72" t="str">
        <f>"1970"</f>
        <v>1970</v>
      </c>
      <c r="E72" t="s">
        <v>422</v>
      </c>
      <c r="F72" t="s">
        <v>423</v>
      </c>
      <c r="G72" t="str">
        <f>"12.12.2016"</f>
        <v>12.12.2016</v>
      </c>
      <c r="H72" t="s">
        <v>424</v>
      </c>
      <c r="I72" t="s">
        <v>425</v>
      </c>
      <c r="J72" t="s">
        <v>426</v>
      </c>
      <c r="K72" t="s">
        <v>28</v>
      </c>
    </row>
    <row r="73" spans="1:11" x14ac:dyDescent="0.2">
      <c r="A73" t="s">
        <v>427</v>
      </c>
      <c r="B73" t="s">
        <v>428</v>
      </c>
      <c r="C73" t="s">
        <v>429</v>
      </c>
      <c r="D73" t="str">
        <f>"4200"</f>
        <v>4200</v>
      </c>
      <c r="E73" t="s">
        <v>430</v>
      </c>
      <c r="F73" t="s">
        <v>431</v>
      </c>
      <c r="G73" t="str">
        <f>"19.09.2014"</f>
        <v>19.09.2014</v>
      </c>
      <c r="H73" t="s">
        <v>432</v>
      </c>
      <c r="I73" t="s">
        <v>433</v>
      </c>
      <c r="J73" t="s">
        <v>434</v>
      </c>
      <c r="K73" t="s">
        <v>435</v>
      </c>
    </row>
    <row r="74" spans="1:11" x14ac:dyDescent="0.2">
      <c r="A74" t="s">
        <v>436</v>
      </c>
      <c r="B74" t="s">
        <v>437</v>
      </c>
      <c r="C74" t="s">
        <v>438</v>
      </c>
      <c r="D74" t="str">
        <f>"2100"</f>
        <v>2100</v>
      </c>
      <c r="E74" t="s">
        <v>14</v>
      </c>
      <c r="F74" t="s">
        <v>439</v>
      </c>
      <c r="G74" t="str">
        <f>"29.11.2011"</f>
        <v>29.11.2011</v>
      </c>
      <c r="H74" t="s">
        <v>440</v>
      </c>
      <c r="I74" t="s">
        <v>441</v>
      </c>
      <c r="J74" t="s">
        <v>442</v>
      </c>
      <c r="K74" t="s">
        <v>443</v>
      </c>
    </row>
    <row r="75" spans="1:11" x14ac:dyDescent="0.2">
      <c r="A75" t="s">
        <v>444</v>
      </c>
      <c r="B75" t="s">
        <v>445</v>
      </c>
      <c r="C75" t="s">
        <v>446</v>
      </c>
      <c r="D75" t="str">
        <f>"8400"</f>
        <v>8400</v>
      </c>
      <c r="E75" t="s">
        <v>447</v>
      </c>
      <c r="F75" t="s">
        <v>448</v>
      </c>
      <c r="G75" t="str">
        <f>"03.01.2009"</f>
        <v>03.01.2009</v>
      </c>
      <c r="H75" t="s">
        <v>449</v>
      </c>
      <c r="I75" t="s">
        <v>450</v>
      </c>
      <c r="J75" t="s">
        <v>451</v>
      </c>
      <c r="K75" t="s">
        <v>28</v>
      </c>
    </row>
    <row r="76" spans="1:11" x14ac:dyDescent="0.2">
      <c r="A76" t="s">
        <v>452</v>
      </c>
      <c r="B76" t="s">
        <v>453</v>
      </c>
      <c r="C76" t="s">
        <v>454</v>
      </c>
      <c r="D76" t="str">
        <f>"1200"</f>
        <v>1200</v>
      </c>
      <c r="E76" t="s">
        <v>48</v>
      </c>
      <c r="F76" t="s">
        <v>455</v>
      </c>
      <c r="G76" t="str">
        <f>"16.09.2014"</f>
        <v>16.09.2014</v>
      </c>
      <c r="H76" t="s">
        <v>456</v>
      </c>
      <c r="I76" t="s">
        <v>457</v>
      </c>
      <c r="J76" t="s">
        <v>458</v>
      </c>
      <c r="K76" t="s">
        <v>28</v>
      </c>
    </row>
    <row r="77" spans="1:11" x14ac:dyDescent="0.2">
      <c r="A77" t="s">
        <v>459</v>
      </c>
      <c r="B77" t="s">
        <v>460</v>
      </c>
      <c r="C77" t="s">
        <v>461</v>
      </c>
      <c r="D77" t="str">
        <f>"2800"</f>
        <v>2800</v>
      </c>
      <c r="E77" t="s">
        <v>321</v>
      </c>
      <c r="F77" t="s">
        <v>462</v>
      </c>
      <c r="G77" t="str">
        <f>"12.06.2006"</f>
        <v>12.06.2006</v>
      </c>
      <c r="H77" t="s">
        <v>463</v>
      </c>
      <c r="I77" t="s">
        <v>464</v>
      </c>
      <c r="J77" t="s">
        <v>465</v>
      </c>
      <c r="K77" t="s">
        <v>19</v>
      </c>
    </row>
    <row r="78" spans="1:11" x14ac:dyDescent="0.2">
      <c r="A78" t="s">
        <v>466</v>
      </c>
      <c r="B78" t="s">
        <v>467</v>
      </c>
      <c r="C78" t="s">
        <v>468</v>
      </c>
      <c r="D78" t="str">
        <f>"9330"</f>
        <v>9330</v>
      </c>
      <c r="E78" t="s">
        <v>469</v>
      </c>
      <c r="F78" t="s">
        <v>470</v>
      </c>
      <c r="G78" t="str">
        <f>"11.01.2017"</f>
        <v>11.01.2017</v>
      </c>
      <c r="H78" t="s">
        <v>471</v>
      </c>
      <c r="I78" t="s">
        <v>472</v>
      </c>
      <c r="J78" t="s">
        <v>473</v>
      </c>
      <c r="K78" t="s">
        <v>28</v>
      </c>
    </row>
    <row r="79" spans="1:11" x14ac:dyDescent="0.2">
      <c r="A79" t="s">
        <v>474</v>
      </c>
      <c r="B79" t="s">
        <v>475</v>
      </c>
      <c r="C79" t="s">
        <v>476</v>
      </c>
      <c r="D79" t="str">
        <f>"5000"</f>
        <v>5000</v>
      </c>
      <c r="E79" t="s">
        <v>477</v>
      </c>
      <c r="F79" t="s">
        <v>478</v>
      </c>
      <c r="G79" t="str">
        <f>"06.07.2000"</f>
        <v>06.07.2000</v>
      </c>
      <c r="H79" t="s">
        <v>479</v>
      </c>
      <c r="I79" t="s">
        <v>480</v>
      </c>
      <c r="J79" t="s">
        <v>481</v>
      </c>
      <c r="K79" t="s">
        <v>19</v>
      </c>
    </row>
    <row r="80" spans="1:11" x14ac:dyDescent="0.2">
      <c r="A80" t="s">
        <v>482</v>
      </c>
      <c r="B80" t="s">
        <v>483</v>
      </c>
      <c r="C80" t="s">
        <v>484</v>
      </c>
      <c r="D80" t="str">
        <f>"1161"</f>
        <v>1161</v>
      </c>
      <c r="E80" t="s">
        <v>48</v>
      </c>
      <c r="F80" t="s">
        <v>485</v>
      </c>
      <c r="G80" t="str">
        <f>"11.03.2015"</f>
        <v>11.03.2015</v>
      </c>
      <c r="H80" t="s">
        <v>486</v>
      </c>
      <c r="I80" t="s">
        <v>487</v>
      </c>
      <c r="J80" t="s">
        <v>488</v>
      </c>
      <c r="K80" t="s">
        <v>19</v>
      </c>
    </row>
    <row r="81" spans="1:11" x14ac:dyDescent="0.2">
      <c r="A81" t="s">
        <v>489</v>
      </c>
      <c r="B81" t="s">
        <v>490</v>
      </c>
      <c r="C81" t="s">
        <v>491</v>
      </c>
      <c r="D81" t="str">
        <f>"1150"</f>
        <v>1150</v>
      </c>
      <c r="E81" t="s">
        <v>48</v>
      </c>
      <c r="F81" t="s">
        <v>492</v>
      </c>
      <c r="G81" t="str">
        <f>"01.09.2018"</f>
        <v>01.09.2018</v>
      </c>
      <c r="H81" t="s">
        <v>493</v>
      </c>
      <c r="I81" t="s">
        <v>494</v>
      </c>
      <c r="J81" t="s">
        <v>495</v>
      </c>
      <c r="K81" t="s">
        <v>19</v>
      </c>
    </row>
    <row r="82" spans="1:11" x14ac:dyDescent="0.2">
      <c r="A82" t="s">
        <v>496</v>
      </c>
      <c r="B82" t="s">
        <v>497</v>
      </c>
      <c r="C82" t="s">
        <v>498</v>
      </c>
      <c r="D82" t="str">
        <f>"1717"</f>
        <v>1717</v>
      </c>
      <c r="E82" t="s">
        <v>140</v>
      </c>
      <c r="F82" t="s">
        <v>499</v>
      </c>
      <c r="G82" t="str">
        <f>"14.12.2015"</f>
        <v>14.12.2015</v>
      </c>
      <c r="H82" t="s">
        <v>500</v>
      </c>
      <c r="I82" t="s">
        <v>501</v>
      </c>
      <c r="J82" t="s">
        <v>502</v>
      </c>
      <c r="K82" t="s">
        <v>28</v>
      </c>
    </row>
    <row r="83" spans="1:11" x14ac:dyDescent="0.2">
      <c r="A83" t="s">
        <v>503</v>
      </c>
      <c r="B83" t="s">
        <v>504</v>
      </c>
      <c r="C83" t="s">
        <v>505</v>
      </c>
      <c r="D83" t="str">
        <f>"7400"</f>
        <v>7400</v>
      </c>
      <c r="E83" t="s">
        <v>506</v>
      </c>
      <c r="F83" t="s">
        <v>507</v>
      </c>
      <c r="G83" t="str">
        <f>"09.09.2010"</f>
        <v>09.09.2010</v>
      </c>
      <c r="H83" t="s">
        <v>508</v>
      </c>
      <c r="I83" t="s">
        <v>509</v>
      </c>
      <c r="J83" t="s">
        <v>510</v>
      </c>
      <c r="K83" t="s">
        <v>28</v>
      </c>
    </row>
    <row r="84" spans="1:11" x14ac:dyDescent="0.2">
      <c r="A84" t="s">
        <v>511</v>
      </c>
      <c r="B84" t="s">
        <v>512</v>
      </c>
      <c r="C84" t="s">
        <v>513</v>
      </c>
      <c r="D84" t="str">
        <f>"4000"</f>
        <v>4000</v>
      </c>
      <c r="E84" t="s">
        <v>514</v>
      </c>
      <c r="F84" t="s">
        <v>515</v>
      </c>
      <c r="G84" t="str">
        <f>"23.03.2004"</f>
        <v>23.03.2004</v>
      </c>
      <c r="H84" t="s">
        <v>516</v>
      </c>
      <c r="I84" t="s">
        <v>517</v>
      </c>
      <c r="J84" t="s">
        <v>518</v>
      </c>
      <c r="K84" t="s">
        <v>28</v>
      </c>
    </row>
    <row r="85" spans="1:11" x14ac:dyDescent="0.2">
      <c r="A85" t="s">
        <v>519</v>
      </c>
      <c r="B85" t="s">
        <v>520</v>
      </c>
      <c r="C85" t="s">
        <v>521</v>
      </c>
      <c r="D85" t="str">
        <f>"8220"</f>
        <v>8220</v>
      </c>
      <c r="E85" t="s">
        <v>522</v>
      </c>
      <c r="F85" t="s">
        <v>523</v>
      </c>
      <c r="G85" t="str">
        <f>"25.02.2014"</f>
        <v>25.02.2014</v>
      </c>
      <c r="H85" t="s">
        <v>524</v>
      </c>
      <c r="I85" t="s">
        <v>525</v>
      </c>
      <c r="J85" t="s">
        <v>526</v>
      </c>
      <c r="K85" t="s">
        <v>179</v>
      </c>
    </row>
    <row r="86" spans="1:11" x14ac:dyDescent="0.2">
      <c r="A86" t="s">
        <v>527</v>
      </c>
      <c r="B86" t="s">
        <v>528</v>
      </c>
      <c r="C86" t="s">
        <v>529</v>
      </c>
      <c r="D86" t="str">
        <f>"3480"</f>
        <v>3480</v>
      </c>
      <c r="E86" t="s">
        <v>530</v>
      </c>
      <c r="F86" t="s">
        <v>531</v>
      </c>
      <c r="G86" t="str">
        <f>"07.12.2015"</f>
        <v>07.12.2015</v>
      </c>
      <c r="H86" t="s">
        <v>532</v>
      </c>
      <c r="I86" t="s">
        <v>533</v>
      </c>
      <c r="J86" t="s">
        <v>534</v>
      </c>
      <c r="K86" t="s">
        <v>28</v>
      </c>
    </row>
    <row r="87" spans="1:11" x14ac:dyDescent="0.2">
      <c r="A87" t="s">
        <v>535</v>
      </c>
      <c r="B87" t="s">
        <v>536</v>
      </c>
      <c r="C87" t="s">
        <v>537</v>
      </c>
      <c r="D87" t="str">
        <f>"8230"</f>
        <v>8230</v>
      </c>
      <c r="E87" t="s">
        <v>538</v>
      </c>
      <c r="F87" t="s">
        <v>539</v>
      </c>
      <c r="G87" t="str">
        <f>"02.07.2014"</f>
        <v>02.07.2014</v>
      </c>
      <c r="H87" t="s">
        <v>540</v>
      </c>
      <c r="I87" t="s">
        <v>541</v>
      </c>
      <c r="J87" t="s">
        <v>542</v>
      </c>
      <c r="K87" t="s">
        <v>19</v>
      </c>
    </row>
    <row r="88" spans="1:11" x14ac:dyDescent="0.2">
      <c r="A88" t="s">
        <v>543</v>
      </c>
      <c r="B88" t="s">
        <v>544</v>
      </c>
      <c r="C88" t="s">
        <v>545</v>
      </c>
      <c r="D88" t="str">
        <f>"2600"</f>
        <v>2600</v>
      </c>
      <c r="E88" t="s">
        <v>546</v>
      </c>
      <c r="F88" t="s">
        <v>547</v>
      </c>
      <c r="G88" t="str">
        <f>"19.05.2008"</f>
        <v>19.05.2008</v>
      </c>
      <c r="H88" t="s">
        <v>548</v>
      </c>
      <c r="I88" t="s">
        <v>549</v>
      </c>
      <c r="J88" t="s">
        <v>550</v>
      </c>
      <c r="K88" t="s">
        <v>551</v>
      </c>
    </row>
    <row r="89" spans="1:11" x14ac:dyDescent="0.2">
      <c r="A89" t="s">
        <v>552</v>
      </c>
      <c r="B89" t="s">
        <v>553</v>
      </c>
      <c r="C89" t="s">
        <v>554</v>
      </c>
      <c r="D89" t="str">
        <f>"1432"</f>
        <v>1432</v>
      </c>
      <c r="E89" t="s">
        <v>48</v>
      </c>
      <c r="F89" t="s">
        <v>555</v>
      </c>
      <c r="G89" t="str">
        <f>"31.08.2009"</f>
        <v>31.08.2009</v>
      </c>
      <c r="H89" t="s">
        <v>556</v>
      </c>
      <c r="I89" t="s">
        <v>557</v>
      </c>
      <c r="J89" t="s">
        <v>558</v>
      </c>
      <c r="K89" t="s">
        <v>559</v>
      </c>
    </row>
    <row r="90" spans="1:11" x14ac:dyDescent="0.2">
      <c r="A90" t="s">
        <v>560</v>
      </c>
      <c r="B90" t="s">
        <v>561</v>
      </c>
      <c r="C90" t="s">
        <v>562</v>
      </c>
      <c r="D90" t="str">
        <f>"5000"</f>
        <v>5000</v>
      </c>
      <c r="E90" t="s">
        <v>477</v>
      </c>
      <c r="F90" t="s">
        <v>563</v>
      </c>
      <c r="G90" t="str">
        <f>"31.10.2001"</f>
        <v>31.10.2001</v>
      </c>
      <c r="H90" t="s">
        <v>564</v>
      </c>
      <c r="I90" t="s">
        <v>565</v>
      </c>
      <c r="J90" t="s">
        <v>566</v>
      </c>
      <c r="K90" t="s">
        <v>410</v>
      </c>
    </row>
    <row r="91" spans="1:11" x14ac:dyDescent="0.2">
      <c r="A91" t="s">
        <v>567</v>
      </c>
      <c r="B91" t="s">
        <v>568</v>
      </c>
      <c r="C91" t="s">
        <v>569</v>
      </c>
      <c r="D91" t="str">
        <f>"2300"</f>
        <v>2300</v>
      </c>
      <c r="E91" t="s">
        <v>253</v>
      </c>
      <c r="F91" t="s">
        <v>570</v>
      </c>
      <c r="G91" t="str">
        <f>"14.12.2009"</f>
        <v>14.12.2009</v>
      </c>
      <c r="H91" t="s">
        <v>571</v>
      </c>
      <c r="I91" t="s">
        <v>572</v>
      </c>
      <c r="J91" t="s">
        <v>573</v>
      </c>
      <c r="K91" t="s">
        <v>19</v>
      </c>
    </row>
    <row r="92" spans="1:11" x14ac:dyDescent="0.2">
      <c r="A92" t="s">
        <v>574</v>
      </c>
      <c r="B92" t="s">
        <v>575</v>
      </c>
      <c r="C92" t="s">
        <v>576</v>
      </c>
      <c r="D92" t="str">
        <f>"8000"</f>
        <v>8000</v>
      </c>
      <c r="E92" t="s">
        <v>63</v>
      </c>
      <c r="F92" t="s">
        <v>577</v>
      </c>
      <c r="G92" t="str">
        <f>"17.05.2010"</f>
        <v>17.05.2010</v>
      </c>
      <c r="H92" t="s">
        <v>578</v>
      </c>
      <c r="I92" t="s">
        <v>579</v>
      </c>
      <c r="J92" t="s">
        <v>580</v>
      </c>
      <c r="K92" t="s">
        <v>28</v>
      </c>
    </row>
    <row r="93" spans="1:11" x14ac:dyDescent="0.2">
      <c r="A93" t="s">
        <v>581</v>
      </c>
      <c r="B93" t="s">
        <v>582</v>
      </c>
      <c r="C93" t="s">
        <v>583</v>
      </c>
      <c r="D93" t="str">
        <f>"2970"</f>
        <v>2970</v>
      </c>
      <c r="E93" t="s">
        <v>71</v>
      </c>
      <c r="F93" t="s">
        <v>584</v>
      </c>
      <c r="G93" t="str">
        <f>"23.12.1998"</f>
        <v>23.12.1998</v>
      </c>
      <c r="H93" t="s">
        <v>585</v>
      </c>
      <c r="I93" t="s">
        <v>586</v>
      </c>
      <c r="J93" t="s">
        <v>587</v>
      </c>
      <c r="K93" t="s">
        <v>588</v>
      </c>
    </row>
    <row r="94" spans="1:11" x14ac:dyDescent="0.2">
      <c r="A94" t="s">
        <v>589</v>
      </c>
      <c r="B94" t="s">
        <v>590</v>
      </c>
      <c r="C94" t="s">
        <v>591</v>
      </c>
      <c r="D94" t="str">
        <f>"2630"</f>
        <v>2630</v>
      </c>
      <c r="E94" t="s">
        <v>245</v>
      </c>
      <c r="F94" t="s">
        <v>592</v>
      </c>
      <c r="G94" t="str">
        <f>"01.05.2014"</f>
        <v>01.05.2014</v>
      </c>
      <c r="H94" t="s">
        <v>593</v>
      </c>
      <c r="I94" t="s">
        <v>594</v>
      </c>
      <c r="J94" t="s">
        <v>595</v>
      </c>
      <c r="K94" t="s">
        <v>28</v>
      </c>
    </row>
    <row r="95" spans="1:11" x14ac:dyDescent="0.2">
      <c r="A95" t="s">
        <v>596</v>
      </c>
      <c r="B95" t="s">
        <v>597</v>
      </c>
      <c r="C95" t="s">
        <v>598</v>
      </c>
      <c r="D95" t="str">
        <f>"2300"</f>
        <v>2300</v>
      </c>
      <c r="E95" t="s">
        <v>253</v>
      </c>
      <c r="F95" t="s">
        <v>599</v>
      </c>
      <c r="G95" t="str">
        <f>"17.01.2014"</f>
        <v>17.01.2014</v>
      </c>
      <c r="H95" t="s">
        <v>600</v>
      </c>
      <c r="I95" t="s">
        <v>601</v>
      </c>
      <c r="J95" t="s">
        <v>602</v>
      </c>
      <c r="K95" t="s">
        <v>603</v>
      </c>
    </row>
    <row r="96" spans="1:11" x14ac:dyDescent="0.2">
      <c r="A96" t="s">
        <v>604</v>
      </c>
      <c r="B96" t="s">
        <v>605</v>
      </c>
      <c r="C96" t="s">
        <v>606</v>
      </c>
      <c r="D96" t="str">
        <f>"3400"</f>
        <v>3400</v>
      </c>
      <c r="E96" t="s">
        <v>183</v>
      </c>
      <c r="F96" t="s">
        <v>607</v>
      </c>
      <c r="G96" t="str">
        <f>"07.10.2019"</f>
        <v>07.10.2019</v>
      </c>
      <c r="H96" t="s">
        <v>608</v>
      </c>
      <c r="I96" t="s">
        <v>609</v>
      </c>
      <c r="J96" t="s">
        <v>610</v>
      </c>
      <c r="K96" t="s">
        <v>19</v>
      </c>
    </row>
    <row r="97" spans="1:11" x14ac:dyDescent="0.2">
      <c r="A97" t="s">
        <v>611</v>
      </c>
      <c r="B97" t="s">
        <v>612</v>
      </c>
      <c r="C97" t="s">
        <v>613</v>
      </c>
      <c r="D97" t="str">
        <f>"2860"</f>
        <v>2860</v>
      </c>
      <c r="E97" t="s">
        <v>277</v>
      </c>
      <c r="F97" t="s">
        <v>614</v>
      </c>
      <c r="G97" t="str">
        <f>"09.03.2004"</f>
        <v>09.03.2004</v>
      </c>
      <c r="H97" t="s">
        <v>615</v>
      </c>
      <c r="I97" t="s">
        <v>616</v>
      </c>
      <c r="J97" t="s">
        <v>617</v>
      </c>
      <c r="K97" t="s">
        <v>618</v>
      </c>
    </row>
    <row r="98" spans="1:11" x14ac:dyDescent="0.2">
      <c r="A98" t="s">
        <v>619</v>
      </c>
      <c r="B98" t="s">
        <v>620</v>
      </c>
      <c r="C98" t="s">
        <v>621</v>
      </c>
      <c r="D98" t="str">
        <f>"2860"</f>
        <v>2860</v>
      </c>
      <c r="E98" t="s">
        <v>277</v>
      </c>
      <c r="F98" t="s">
        <v>622</v>
      </c>
      <c r="G98" t="str">
        <f>"19.07.2000"</f>
        <v>19.07.2000</v>
      </c>
      <c r="H98" t="s">
        <v>623</v>
      </c>
      <c r="I98" t="s">
        <v>624</v>
      </c>
      <c r="J98" t="s">
        <v>625</v>
      </c>
      <c r="K98" t="s">
        <v>410</v>
      </c>
    </row>
    <row r="99" spans="1:11" x14ac:dyDescent="0.2">
      <c r="A99" t="s">
        <v>626</v>
      </c>
      <c r="B99" t="s">
        <v>627</v>
      </c>
      <c r="C99" t="s">
        <v>628</v>
      </c>
      <c r="D99" t="str">
        <f>"8230"</f>
        <v>8230</v>
      </c>
      <c r="E99" t="s">
        <v>538</v>
      </c>
      <c r="F99" t="s">
        <v>629</v>
      </c>
      <c r="G99" t="str">
        <f>"13.06.2012"</f>
        <v>13.06.2012</v>
      </c>
      <c r="H99" t="s">
        <v>630</v>
      </c>
      <c r="I99" t="s">
        <v>631</v>
      </c>
      <c r="J99" t="s">
        <v>632</v>
      </c>
      <c r="K99" t="s">
        <v>28</v>
      </c>
    </row>
    <row r="100" spans="1:11" x14ac:dyDescent="0.2">
      <c r="A100" t="s">
        <v>633</v>
      </c>
      <c r="B100" t="s">
        <v>634</v>
      </c>
      <c r="C100" t="s">
        <v>635</v>
      </c>
      <c r="D100" t="str">
        <f>"1151"</f>
        <v>1151</v>
      </c>
      <c r="E100" t="s">
        <v>48</v>
      </c>
      <c r="F100" t="s">
        <v>636</v>
      </c>
      <c r="G100" t="str">
        <f>"15.09.2016"</f>
        <v>15.09.2016</v>
      </c>
      <c r="H100" t="s">
        <v>637</v>
      </c>
      <c r="I100" t="s">
        <v>638</v>
      </c>
      <c r="J100" t="s">
        <v>639</v>
      </c>
      <c r="K100" t="s">
        <v>19</v>
      </c>
    </row>
    <row r="101" spans="1:11" x14ac:dyDescent="0.2">
      <c r="A101" t="s">
        <v>640</v>
      </c>
      <c r="B101" t="s">
        <v>641</v>
      </c>
      <c r="C101" t="s">
        <v>642</v>
      </c>
      <c r="D101" t="str">
        <f>"2450"</f>
        <v>2450</v>
      </c>
      <c r="E101" t="s">
        <v>221</v>
      </c>
      <c r="F101" t="s">
        <v>643</v>
      </c>
      <c r="G101" t="str">
        <f>"21.05.2010"</f>
        <v>21.05.2010</v>
      </c>
      <c r="H101" t="s">
        <v>644</v>
      </c>
      <c r="I101" t="s">
        <v>645</v>
      </c>
      <c r="J101" t="s">
        <v>646</v>
      </c>
      <c r="K101" t="s">
        <v>28</v>
      </c>
    </row>
    <row r="102" spans="1:11" x14ac:dyDescent="0.2">
      <c r="A102" t="s">
        <v>647</v>
      </c>
      <c r="B102" t="s">
        <v>648</v>
      </c>
      <c r="C102" t="s">
        <v>649</v>
      </c>
      <c r="D102" t="str">
        <f>"1553"</f>
        <v>1553</v>
      </c>
      <c r="E102" t="s">
        <v>140</v>
      </c>
      <c r="F102" t="s">
        <v>650</v>
      </c>
      <c r="G102" t="str">
        <f>"08.12.2010"</f>
        <v>08.12.2010</v>
      </c>
      <c r="H102" t="s">
        <v>651</v>
      </c>
      <c r="I102" t="s">
        <v>652</v>
      </c>
      <c r="J102" t="s">
        <v>653</v>
      </c>
      <c r="K102" t="s">
        <v>443</v>
      </c>
    </row>
    <row r="103" spans="1:11" x14ac:dyDescent="0.2">
      <c r="A103" t="s">
        <v>654</v>
      </c>
      <c r="B103" t="s">
        <v>655</v>
      </c>
      <c r="C103" t="s">
        <v>656</v>
      </c>
      <c r="D103" t="str">
        <f>"8000"</f>
        <v>8000</v>
      </c>
      <c r="E103" t="s">
        <v>63</v>
      </c>
      <c r="F103" t="s">
        <v>657</v>
      </c>
      <c r="G103" t="str">
        <f>"06.12.2019"</f>
        <v>06.12.2019</v>
      </c>
      <c r="H103" t="s">
        <v>658</v>
      </c>
      <c r="I103" t="s">
        <v>659</v>
      </c>
      <c r="J103" t="s">
        <v>660</v>
      </c>
      <c r="K103" t="s">
        <v>28</v>
      </c>
    </row>
    <row r="104" spans="1:11" x14ac:dyDescent="0.2">
      <c r="A104" t="s">
        <v>661</v>
      </c>
      <c r="B104" t="s">
        <v>662</v>
      </c>
      <c r="C104" t="s">
        <v>663</v>
      </c>
      <c r="D104" t="str">
        <f>"5700"</f>
        <v>5700</v>
      </c>
      <c r="E104" t="s">
        <v>664</v>
      </c>
      <c r="F104" t="s">
        <v>665</v>
      </c>
      <c r="G104" t="str">
        <f>"08.10.2018"</f>
        <v>08.10.2018</v>
      </c>
      <c r="H104" t="s">
        <v>666</v>
      </c>
      <c r="I104" t="s">
        <v>667</v>
      </c>
      <c r="J104" t="s">
        <v>668</v>
      </c>
      <c r="K104" t="s">
        <v>310</v>
      </c>
    </row>
    <row r="105" spans="1:11" x14ac:dyDescent="0.2">
      <c r="A105" t="s">
        <v>669</v>
      </c>
      <c r="B105" t="s">
        <v>670</v>
      </c>
      <c r="C105" t="s">
        <v>671</v>
      </c>
      <c r="D105" t="str">
        <f>"2720"</f>
        <v>2720</v>
      </c>
      <c r="E105" t="s">
        <v>672</v>
      </c>
      <c r="F105" t="s">
        <v>673</v>
      </c>
      <c r="G105" t="str">
        <f>"12.05.2016"</f>
        <v>12.05.2016</v>
      </c>
      <c r="H105" t="s">
        <v>674</v>
      </c>
      <c r="I105" t="s">
        <v>675</v>
      </c>
      <c r="J105" t="s">
        <v>676</v>
      </c>
      <c r="K105" t="s">
        <v>677</v>
      </c>
    </row>
    <row r="106" spans="1:11" x14ac:dyDescent="0.2">
      <c r="A106" t="s">
        <v>678</v>
      </c>
      <c r="B106" t="s">
        <v>679</v>
      </c>
      <c r="C106" t="s">
        <v>680</v>
      </c>
      <c r="D106" t="str">
        <f>"8260"</f>
        <v>8260</v>
      </c>
      <c r="E106" t="s">
        <v>681</v>
      </c>
      <c r="F106" t="s">
        <v>682</v>
      </c>
      <c r="G106" t="str">
        <f>"25.03.2019"</f>
        <v>25.03.2019</v>
      </c>
      <c r="H106" t="s">
        <v>683</v>
      </c>
      <c r="I106" t="s">
        <v>684</v>
      </c>
      <c r="J106" t="s">
        <v>685</v>
      </c>
      <c r="K106" t="s">
        <v>28</v>
      </c>
    </row>
    <row r="107" spans="1:11" x14ac:dyDescent="0.2">
      <c r="A107" t="s">
        <v>686</v>
      </c>
      <c r="B107" t="s">
        <v>687</v>
      </c>
      <c r="C107" t="s">
        <v>688</v>
      </c>
      <c r="D107" t="str">
        <f>"2900"</f>
        <v>2900</v>
      </c>
      <c r="E107" t="s">
        <v>689</v>
      </c>
      <c r="F107" t="s">
        <v>690</v>
      </c>
      <c r="G107" t="str">
        <f>"29.06.2016"</f>
        <v>29.06.2016</v>
      </c>
      <c r="H107" t="s">
        <v>691</v>
      </c>
      <c r="I107" t="s">
        <v>692</v>
      </c>
      <c r="J107" t="s">
        <v>693</v>
      </c>
      <c r="K107" t="s">
        <v>694</v>
      </c>
    </row>
    <row r="108" spans="1:11" x14ac:dyDescent="0.2">
      <c r="A108" t="s">
        <v>695</v>
      </c>
      <c r="B108" t="s">
        <v>696</v>
      </c>
      <c r="C108" t="s">
        <v>697</v>
      </c>
      <c r="D108" t="str">
        <f>"3700"</f>
        <v>3700</v>
      </c>
      <c r="E108" t="s">
        <v>698</v>
      </c>
      <c r="F108" t="s">
        <v>699</v>
      </c>
      <c r="G108" t="str">
        <f>"01.09.2014"</f>
        <v>01.09.2014</v>
      </c>
      <c r="H108" t="s">
        <v>700</v>
      </c>
      <c r="I108" t="s">
        <v>701</v>
      </c>
      <c r="J108" t="s">
        <v>702</v>
      </c>
      <c r="K108" t="s">
        <v>703</v>
      </c>
    </row>
    <row r="109" spans="1:11" x14ac:dyDescent="0.2">
      <c r="A109" t="s">
        <v>704</v>
      </c>
      <c r="B109" t="s">
        <v>705</v>
      </c>
      <c r="C109" t="s">
        <v>706</v>
      </c>
      <c r="D109" t="str">
        <f>"7400"</f>
        <v>7400</v>
      </c>
      <c r="E109" t="s">
        <v>506</v>
      </c>
      <c r="F109" t="s">
        <v>707</v>
      </c>
      <c r="G109" t="str">
        <f>"19.12.2018"</f>
        <v>19.12.2018</v>
      </c>
      <c r="H109" t="s">
        <v>708</v>
      </c>
      <c r="I109" t="s">
        <v>709</v>
      </c>
      <c r="J109" t="s">
        <v>710</v>
      </c>
      <c r="K109" t="s">
        <v>28</v>
      </c>
    </row>
    <row r="110" spans="1:11" x14ac:dyDescent="0.2">
      <c r="A110" t="s">
        <v>711</v>
      </c>
      <c r="B110" t="s">
        <v>712</v>
      </c>
      <c r="C110" t="s">
        <v>713</v>
      </c>
      <c r="D110" t="str">
        <f>"2740"</f>
        <v>2740</v>
      </c>
      <c r="E110" t="s">
        <v>714</v>
      </c>
      <c r="F110" t="s">
        <v>715</v>
      </c>
      <c r="G110" t="str">
        <f>"03.04.2001"</f>
        <v>03.04.2001</v>
      </c>
      <c r="H110" t="s">
        <v>716</v>
      </c>
      <c r="I110" t="s">
        <v>717</v>
      </c>
      <c r="J110" t="s">
        <v>718</v>
      </c>
      <c r="K110" t="s">
        <v>719</v>
      </c>
    </row>
    <row r="111" spans="1:11" x14ac:dyDescent="0.2">
      <c r="A111" t="s">
        <v>720</v>
      </c>
      <c r="B111" t="s">
        <v>721</v>
      </c>
      <c r="C111" t="s">
        <v>722</v>
      </c>
      <c r="D111" t="str">
        <f>"6000"</f>
        <v>6000</v>
      </c>
      <c r="E111" t="s">
        <v>174</v>
      </c>
      <c r="F111" t="s">
        <v>723</v>
      </c>
      <c r="G111" t="str">
        <f>"01.01.2012"</f>
        <v>01.01.2012</v>
      </c>
      <c r="H111" t="s">
        <v>724</v>
      </c>
      <c r="I111" t="s">
        <v>725</v>
      </c>
      <c r="J111" t="s">
        <v>726</v>
      </c>
      <c r="K111" t="s">
        <v>28</v>
      </c>
    </row>
    <row r="112" spans="1:11" x14ac:dyDescent="0.2">
      <c r="A112" t="s">
        <v>727</v>
      </c>
      <c r="B112" t="s">
        <v>728</v>
      </c>
      <c r="C112" t="s">
        <v>729</v>
      </c>
      <c r="D112" t="str">
        <f>"2730"</f>
        <v>2730</v>
      </c>
      <c r="E112" t="s">
        <v>730</v>
      </c>
      <c r="F112" t="s">
        <v>731</v>
      </c>
      <c r="G112" t="str">
        <f>"07.08.2014"</f>
        <v>07.08.2014</v>
      </c>
      <c r="H112" t="s">
        <v>732</v>
      </c>
      <c r="I112" t="s">
        <v>733</v>
      </c>
      <c r="J112" t="s">
        <v>734</v>
      </c>
      <c r="K112" t="s">
        <v>28</v>
      </c>
    </row>
    <row r="113" spans="1:11" x14ac:dyDescent="0.2">
      <c r="A113" t="s">
        <v>735</v>
      </c>
      <c r="B113" t="s">
        <v>736</v>
      </c>
      <c r="C113" t="s">
        <v>737</v>
      </c>
      <c r="D113" t="str">
        <f>"1301"</f>
        <v>1301</v>
      </c>
      <c r="E113" t="s">
        <v>48</v>
      </c>
      <c r="F113" t="s">
        <v>738</v>
      </c>
      <c r="G113" t="str">
        <f>"26.01.2018"</f>
        <v>26.01.2018</v>
      </c>
      <c r="H113" t="s">
        <v>739</v>
      </c>
      <c r="I113" t="s">
        <v>740</v>
      </c>
      <c r="J113" t="s">
        <v>741</v>
      </c>
      <c r="K113" t="s">
        <v>742</v>
      </c>
    </row>
    <row r="114" spans="1:11" x14ac:dyDescent="0.2">
      <c r="A114" t="s">
        <v>743</v>
      </c>
      <c r="B114" t="s">
        <v>744</v>
      </c>
      <c r="C114" t="s">
        <v>745</v>
      </c>
      <c r="D114" t="str">
        <f>"9000"</f>
        <v>9000</v>
      </c>
      <c r="E114" t="s">
        <v>237</v>
      </c>
      <c r="F114" t="s">
        <v>746</v>
      </c>
      <c r="G114" t="str">
        <f>"01.11.2015"</f>
        <v>01.11.2015</v>
      </c>
      <c r="H114" t="s">
        <v>747</v>
      </c>
      <c r="I114" t="s">
        <v>748</v>
      </c>
      <c r="J114" t="s">
        <v>749</v>
      </c>
      <c r="K114" t="s">
        <v>28</v>
      </c>
    </row>
    <row r="115" spans="1:11" x14ac:dyDescent="0.2">
      <c r="A115" t="s">
        <v>750</v>
      </c>
      <c r="B115" t="s">
        <v>751</v>
      </c>
      <c r="C115" t="s">
        <v>752</v>
      </c>
      <c r="D115" t="str">
        <f>"1456"</f>
        <v>1456</v>
      </c>
      <c r="E115" t="s">
        <v>48</v>
      </c>
      <c r="F115" t="s">
        <v>753</v>
      </c>
      <c r="G115" t="str">
        <f>"06.02.2018"</f>
        <v>06.02.2018</v>
      </c>
      <c r="H115" t="s">
        <v>754</v>
      </c>
      <c r="I115" t="s">
        <v>755</v>
      </c>
      <c r="J115" t="s">
        <v>756</v>
      </c>
      <c r="K115" t="s">
        <v>28</v>
      </c>
    </row>
    <row r="116" spans="1:11" x14ac:dyDescent="0.2">
      <c r="A116" t="s">
        <v>757</v>
      </c>
      <c r="B116" t="s">
        <v>758</v>
      </c>
      <c r="C116" t="s">
        <v>759</v>
      </c>
      <c r="D116" t="str">
        <f>"5000"</f>
        <v>5000</v>
      </c>
      <c r="E116" t="s">
        <v>477</v>
      </c>
      <c r="F116" t="s">
        <v>760</v>
      </c>
      <c r="G116" t="str">
        <f>"10.04.2012"</f>
        <v>10.04.2012</v>
      </c>
      <c r="H116" t="s">
        <v>761</v>
      </c>
      <c r="I116" t="s">
        <v>762</v>
      </c>
      <c r="J116" t="s">
        <v>763</v>
      </c>
      <c r="K116" t="s">
        <v>764</v>
      </c>
    </row>
    <row r="117" spans="1:11" x14ac:dyDescent="0.2">
      <c r="A117" t="s">
        <v>765</v>
      </c>
      <c r="B117" t="s">
        <v>766</v>
      </c>
      <c r="C117" t="s">
        <v>767</v>
      </c>
      <c r="D117" t="str">
        <f>"8000"</f>
        <v>8000</v>
      </c>
      <c r="E117" t="s">
        <v>63</v>
      </c>
      <c r="F117" t="s">
        <v>768</v>
      </c>
      <c r="G117" t="str">
        <f>"24.06.2008"</f>
        <v>24.06.2008</v>
      </c>
      <c r="H117" t="s">
        <v>769</v>
      </c>
      <c r="I117" t="s">
        <v>770</v>
      </c>
      <c r="J117" t="s">
        <v>771</v>
      </c>
      <c r="K117" t="s">
        <v>28</v>
      </c>
    </row>
    <row r="118" spans="1:11" x14ac:dyDescent="0.2">
      <c r="A118" t="s">
        <v>772</v>
      </c>
      <c r="B118" t="s">
        <v>773</v>
      </c>
      <c r="C118" t="s">
        <v>774</v>
      </c>
      <c r="D118" t="str">
        <f>"2900"</f>
        <v>2900</v>
      </c>
      <c r="E118" t="s">
        <v>689</v>
      </c>
      <c r="F118" t="s">
        <v>775</v>
      </c>
      <c r="G118" t="str">
        <f>"01.04.2014"</f>
        <v>01.04.2014</v>
      </c>
      <c r="H118" t="s">
        <v>776</v>
      </c>
      <c r="I118" t="s">
        <v>777</v>
      </c>
      <c r="J118" t="s">
        <v>778</v>
      </c>
      <c r="K118" t="s">
        <v>179</v>
      </c>
    </row>
    <row r="119" spans="1:11" x14ac:dyDescent="0.2">
      <c r="A119" t="s">
        <v>779</v>
      </c>
      <c r="B119" t="s">
        <v>780</v>
      </c>
      <c r="C119" t="s">
        <v>781</v>
      </c>
      <c r="D119" t="str">
        <f>"1610"</f>
        <v>1610</v>
      </c>
      <c r="E119" t="s">
        <v>140</v>
      </c>
      <c r="F119" t="s">
        <v>782</v>
      </c>
      <c r="G119" t="str">
        <f>"14.04.2015"</f>
        <v>14.04.2015</v>
      </c>
      <c r="H119" t="s">
        <v>783</v>
      </c>
      <c r="I119" t="s">
        <v>784</v>
      </c>
      <c r="J119" t="s">
        <v>785</v>
      </c>
      <c r="K119" t="s">
        <v>28</v>
      </c>
    </row>
    <row r="120" spans="1:11" x14ac:dyDescent="0.2">
      <c r="A120" t="s">
        <v>786</v>
      </c>
      <c r="B120" t="s">
        <v>787</v>
      </c>
      <c r="C120" t="s">
        <v>788</v>
      </c>
      <c r="D120" t="str">
        <f>"1620"</f>
        <v>1620</v>
      </c>
      <c r="E120" t="s">
        <v>140</v>
      </c>
      <c r="F120" t="s">
        <v>789</v>
      </c>
      <c r="G120" t="str">
        <f>"15.09.2009"</f>
        <v>15.09.2009</v>
      </c>
      <c r="H120" t="s">
        <v>790</v>
      </c>
      <c r="I120" t="s">
        <v>791</v>
      </c>
      <c r="J120" t="s">
        <v>792</v>
      </c>
      <c r="K120" t="s">
        <v>19</v>
      </c>
    </row>
    <row r="121" spans="1:11" x14ac:dyDescent="0.2">
      <c r="A121" t="s">
        <v>793</v>
      </c>
      <c r="B121" t="s">
        <v>794</v>
      </c>
      <c r="C121" t="s">
        <v>795</v>
      </c>
      <c r="D121" t="str">
        <f>"4200"</f>
        <v>4200</v>
      </c>
      <c r="E121" t="s">
        <v>430</v>
      </c>
      <c r="F121" t="s">
        <v>796</v>
      </c>
      <c r="G121" t="str">
        <f>"02.02.2021"</f>
        <v>02.02.2021</v>
      </c>
      <c r="H121" t="s">
        <v>797</v>
      </c>
      <c r="I121" t="s">
        <v>798</v>
      </c>
      <c r="J121" t="s">
        <v>799</v>
      </c>
      <c r="K121" t="s">
        <v>28</v>
      </c>
    </row>
    <row r="122" spans="1:11" x14ac:dyDescent="0.2">
      <c r="A122" t="s">
        <v>800</v>
      </c>
      <c r="B122" t="s">
        <v>801</v>
      </c>
      <c r="C122" t="s">
        <v>802</v>
      </c>
      <c r="D122" t="str">
        <f>"1306"</f>
        <v>1306</v>
      </c>
      <c r="E122" t="s">
        <v>48</v>
      </c>
      <c r="F122" t="s">
        <v>803</v>
      </c>
      <c r="G122" t="str">
        <f>"12.03.2015"</f>
        <v>12.03.2015</v>
      </c>
      <c r="H122" t="s">
        <v>804</v>
      </c>
      <c r="I122" t="s">
        <v>805</v>
      </c>
      <c r="J122" t="s">
        <v>806</v>
      </c>
      <c r="K122" t="s">
        <v>807</v>
      </c>
    </row>
    <row r="123" spans="1:11" x14ac:dyDescent="0.2">
      <c r="A123" t="s">
        <v>808</v>
      </c>
      <c r="B123" t="s">
        <v>809</v>
      </c>
      <c r="C123" t="s">
        <v>810</v>
      </c>
      <c r="D123" t="str">
        <f>"2620"</f>
        <v>2620</v>
      </c>
      <c r="E123" t="s">
        <v>811</v>
      </c>
      <c r="F123" t="s">
        <v>812</v>
      </c>
      <c r="G123" t="str">
        <f>"28.10.2013"</f>
        <v>28.10.2013</v>
      </c>
      <c r="H123" t="s">
        <v>813</v>
      </c>
      <c r="I123" t="s">
        <v>814</v>
      </c>
      <c r="J123" t="s">
        <v>815</v>
      </c>
      <c r="K123" t="s">
        <v>28</v>
      </c>
    </row>
    <row r="124" spans="1:11" x14ac:dyDescent="0.2">
      <c r="A124" t="s">
        <v>816</v>
      </c>
      <c r="B124" t="s">
        <v>817</v>
      </c>
      <c r="C124" t="s">
        <v>818</v>
      </c>
      <c r="D124" t="str">
        <f>"8230"</f>
        <v>8230</v>
      </c>
      <c r="E124" t="s">
        <v>538</v>
      </c>
      <c r="F124" t="s">
        <v>819</v>
      </c>
      <c r="G124" t="str">
        <f>"02.12.2013"</f>
        <v>02.12.2013</v>
      </c>
      <c r="H124" t="s">
        <v>820</v>
      </c>
      <c r="I124" t="s">
        <v>821</v>
      </c>
      <c r="J124" t="s">
        <v>822</v>
      </c>
      <c r="K124" t="s">
        <v>310</v>
      </c>
    </row>
    <row r="125" spans="1:11" x14ac:dyDescent="0.2">
      <c r="A125" t="s">
        <v>823</v>
      </c>
      <c r="B125" t="s">
        <v>824</v>
      </c>
      <c r="C125" t="s">
        <v>825</v>
      </c>
      <c r="D125" t="str">
        <f>"2300"</f>
        <v>2300</v>
      </c>
      <c r="E125" t="s">
        <v>253</v>
      </c>
      <c r="F125" t="s">
        <v>826</v>
      </c>
      <c r="G125" t="str">
        <f>"01.01.1992"</f>
        <v>01.01.1992</v>
      </c>
      <c r="H125" t="s">
        <v>827</v>
      </c>
      <c r="I125" t="s">
        <v>828</v>
      </c>
      <c r="J125" t="s">
        <v>829</v>
      </c>
      <c r="K125" t="s">
        <v>28</v>
      </c>
    </row>
    <row r="126" spans="1:11" x14ac:dyDescent="0.2">
      <c r="A126" t="s">
        <v>830</v>
      </c>
      <c r="B126" t="s">
        <v>831</v>
      </c>
      <c r="C126" t="s">
        <v>832</v>
      </c>
      <c r="D126" t="str">
        <f>"1607"</f>
        <v>1607</v>
      </c>
      <c r="E126" t="s">
        <v>140</v>
      </c>
      <c r="F126" t="s">
        <v>833</v>
      </c>
      <c r="G126" t="str">
        <f>"28.08.2012"</f>
        <v>28.08.2012</v>
      </c>
      <c r="H126" t="s">
        <v>834</v>
      </c>
      <c r="I126" t="s">
        <v>835</v>
      </c>
      <c r="J126" t="s">
        <v>836</v>
      </c>
      <c r="K126" t="s">
        <v>28</v>
      </c>
    </row>
    <row r="127" spans="1:11" x14ac:dyDescent="0.2">
      <c r="A127" t="s">
        <v>837</v>
      </c>
      <c r="B127" t="s">
        <v>838</v>
      </c>
      <c r="C127" t="s">
        <v>839</v>
      </c>
      <c r="D127" t="str">
        <f>"2970"</f>
        <v>2970</v>
      </c>
      <c r="E127" t="s">
        <v>71</v>
      </c>
      <c r="F127" t="s">
        <v>840</v>
      </c>
      <c r="G127" t="str">
        <f>"29.05.1996"</f>
        <v>29.05.1996</v>
      </c>
      <c r="H127" t="s">
        <v>841</v>
      </c>
      <c r="I127" t="s">
        <v>842</v>
      </c>
      <c r="J127" t="s">
        <v>843</v>
      </c>
      <c r="K127" t="s">
        <v>443</v>
      </c>
    </row>
    <row r="128" spans="1:11" x14ac:dyDescent="0.2">
      <c r="A128" t="s">
        <v>844</v>
      </c>
      <c r="B128" t="s">
        <v>845</v>
      </c>
      <c r="C128" t="s">
        <v>846</v>
      </c>
      <c r="D128" t="str">
        <f>"8000"</f>
        <v>8000</v>
      </c>
      <c r="E128" t="s">
        <v>63</v>
      </c>
      <c r="F128" t="s">
        <v>847</v>
      </c>
      <c r="G128" t="str">
        <f>"27.04.2006"</f>
        <v>27.04.2006</v>
      </c>
      <c r="H128" t="s">
        <v>848</v>
      </c>
      <c r="I128" t="s">
        <v>849</v>
      </c>
      <c r="J128" t="s">
        <v>850</v>
      </c>
      <c r="K128" t="s">
        <v>410</v>
      </c>
    </row>
    <row r="129" spans="1:11" x14ac:dyDescent="0.2">
      <c r="A129" t="s">
        <v>851</v>
      </c>
      <c r="B129" t="s">
        <v>852</v>
      </c>
      <c r="C129" t="s">
        <v>853</v>
      </c>
      <c r="D129" t="str">
        <f>"2840"</f>
        <v>2840</v>
      </c>
      <c r="E129" t="s">
        <v>854</v>
      </c>
      <c r="F129" t="s">
        <v>855</v>
      </c>
      <c r="G129" t="str">
        <f>"11.05.2015"</f>
        <v>11.05.2015</v>
      </c>
      <c r="H129" t="s">
        <v>856</v>
      </c>
      <c r="I129" t="s">
        <v>857</v>
      </c>
      <c r="J129" t="s">
        <v>858</v>
      </c>
      <c r="K129" t="s">
        <v>19</v>
      </c>
    </row>
    <row r="130" spans="1:11" x14ac:dyDescent="0.2">
      <c r="A130" t="s">
        <v>859</v>
      </c>
      <c r="B130" t="s">
        <v>860</v>
      </c>
      <c r="C130" t="s">
        <v>861</v>
      </c>
      <c r="D130" t="str">
        <f>"5000"</f>
        <v>5000</v>
      </c>
      <c r="E130" t="s">
        <v>477</v>
      </c>
      <c r="F130" t="s">
        <v>862</v>
      </c>
      <c r="G130" t="str">
        <f>"19.10.2011"</f>
        <v>19.10.2011</v>
      </c>
      <c r="H130" t="s">
        <v>863</v>
      </c>
      <c r="I130" t="s">
        <v>864</v>
      </c>
      <c r="J130" t="s">
        <v>865</v>
      </c>
      <c r="K130" t="s">
        <v>28</v>
      </c>
    </row>
    <row r="131" spans="1:11" x14ac:dyDescent="0.2">
      <c r="A131" t="s">
        <v>866</v>
      </c>
      <c r="B131" t="s">
        <v>867</v>
      </c>
      <c r="C131" t="s">
        <v>868</v>
      </c>
      <c r="D131" t="str">
        <f>"2720"</f>
        <v>2720</v>
      </c>
      <c r="E131" t="s">
        <v>672</v>
      </c>
      <c r="F131" t="s">
        <v>869</v>
      </c>
      <c r="G131" t="str">
        <f>"06.05.2019"</f>
        <v>06.05.2019</v>
      </c>
      <c r="H131" t="s">
        <v>870</v>
      </c>
      <c r="I131" t="s">
        <v>871</v>
      </c>
      <c r="J131" t="s">
        <v>872</v>
      </c>
      <c r="K131" t="s">
        <v>19</v>
      </c>
    </row>
    <row r="132" spans="1:11" x14ac:dyDescent="0.2">
      <c r="A132" t="s">
        <v>873</v>
      </c>
      <c r="B132" t="s">
        <v>874</v>
      </c>
      <c r="C132" t="s">
        <v>875</v>
      </c>
      <c r="D132" t="str">
        <f>"1411"</f>
        <v>1411</v>
      </c>
      <c r="E132" t="s">
        <v>48</v>
      </c>
      <c r="F132" t="s">
        <v>876</v>
      </c>
      <c r="G132" t="str">
        <f>"01.10.2016"</f>
        <v>01.10.2016</v>
      </c>
      <c r="H132" t="s">
        <v>877</v>
      </c>
      <c r="I132" t="s">
        <v>878</v>
      </c>
      <c r="J132" t="s">
        <v>879</v>
      </c>
      <c r="K132" t="s">
        <v>880</v>
      </c>
    </row>
    <row r="133" spans="1:11" x14ac:dyDescent="0.2">
      <c r="A133" t="s">
        <v>881</v>
      </c>
      <c r="B133" t="s">
        <v>882</v>
      </c>
      <c r="C133" t="s">
        <v>883</v>
      </c>
      <c r="D133" t="str">
        <f>"2300"</f>
        <v>2300</v>
      </c>
      <c r="E133" t="s">
        <v>253</v>
      </c>
      <c r="F133" t="s">
        <v>884</v>
      </c>
      <c r="G133" t="str">
        <f>"01.02.2005"</f>
        <v>01.02.2005</v>
      </c>
      <c r="H133" t="s">
        <v>885</v>
      </c>
      <c r="I133" t="s">
        <v>886</v>
      </c>
      <c r="J133" t="s">
        <v>887</v>
      </c>
      <c r="K133" t="s">
        <v>28</v>
      </c>
    </row>
    <row r="134" spans="1:11" x14ac:dyDescent="0.2">
      <c r="A134" t="s">
        <v>888</v>
      </c>
      <c r="B134" t="s">
        <v>889</v>
      </c>
      <c r="C134" t="s">
        <v>890</v>
      </c>
      <c r="D134" t="str">
        <f>"2300"</f>
        <v>2300</v>
      </c>
      <c r="E134" t="s">
        <v>253</v>
      </c>
      <c r="F134" t="s">
        <v>891</v>
      </c>
      <c r="G134" t="str">
        <f>"01.02.2005"</f>
        <v>01.02.2005</v>
      </c>
      <c r="H134" t="s">
        <v>885</v>
      </c>
      <c r="I134" t="s">
        <v>892</v>
      </c>
      <c r="J134" t="s">
        <v>887</v>
      </c>
      <c r="K134" t="s">
        <v>28</v>
      </c>
    </row>
    <row r="135" spans="1:11" x14ac:dyDescent="0.2">
      <c r="A135" t="s">
        <v>893</v>
      </c>
      <c r="B135" t="s">
        <v>894</v>
      </c>
      <c r="C135" t="s">
        <v>895</v>
      </c>
      <c r="D135" t="str">
        <f>"2860"</f>
        <v>2860</v>
      </c>
      <c r="E135" t="s">
        <v>277</v>
      </c>
      <c r="F135" t="s">
        <v>896</v>
      </c>
      <c r="G135" t="str">
        <f>"24.08.2014"</f>
        <v>24.08.2014</v>
      </c>
      <c r="H135" t="s">
        <v>897</v>
      </c>
      <c r="I135" t="s">
        <v>898</v>
      </c>
      <c r="J135" t="s">
        <v>899</v>
      </c>
      <c r="K135" t="s">
        <v>310</v>
      </c>
    </row>
    <row r="136" spans="1:11" x14ac:dyDescent="0.2">
      <c r="A136" t="s">
        <v>900</v>
      </c>
      <c r="B136" t="s">
        <v>901</v>
      </c>
      <c r="C136" t="s">
        <v>902</v>
      </c>
      <c r="D136" t="str">
        <f>"8200"</f>
        <v>8200</v>
      </c>
      <c r="E136" t="s">
        <v>229</v>
      </c>
      <c r="F136" t="s">
        <v>903</v>
      </c>
      <c r="G136" t="str">
        <f>"01.06.2017"</f>
        <v>01.06.2017</v>
      </c>
      <c r="H136" t="s">
        <v>904</v>
      </c>
      <c r="I136" t="s">
        <v>905</v>
      </c>
      <c r="J136" t="s">
        <v>906</v>
      </c>
      <c r="K136" t="s">
        <v>28</v>
      </c>
    </row>
    <row r="137" spans="1:11" x14ac:dyDescent="0.2">
      <c r="A137" t="s">
        <v>907</v>
      </c>
      <c r="B137" t="s">
        <v>908</v>
      </c>
      <c r="C137" t="s">
        <v>909</v>
      </c>
      <c r="D137" t="str">
        <f>"2200"</f>
        <v>2200</v>
      </c>
      <c r="E137" t="s">
        <v>269</v>
      </c>
      <c r="F137" t="s">
        <v>910</v>
      </c>
      <c r="G137" t="str">
        <f>"03.10.2014"</f>
        <v>03.10.2014</v>
      </c>
      <c r="H137" t="s">
        <v>911</v>
      </c>
      <c r="I137" t="s">
        <v>912</v>
      </c>
      <c r="J137" t="s">
        <v>913</v>
      </c>
      <c r="K137" t="s">
        <v>28</v>
      </c>
    </row>
    <row r="138" spans="1:11" x14ac:dyDescent="0.2">
      <c r="A138" t="s">
        <v>914</v>
      </c>
      <c r="B138" t="s">
        <v>915</v>
      </c>
      <c r="C138" t="s">
        <v>916</v>
      </c>
      <c r="D138" t="str">
        <f>"2100"</f>
        <v>2100</v>
      </c>
      <c r="E138" t="s">
        <v>14</v>
      </c>
      <c r="F138" t="s">
        <v>917</v>
      </c>
      <c r="G138" t="str">
        <f>"23.08.2007"</f>
        <v>23.08.2007</v>
      </c>
      <c r="H138" t="s">
        <v>918</v>
      </c>
      <c r="I138" t="s">
        <v>919</v>
      </c>
      <c r="J138" t="s">
        <v>920</v>
      </c>
      <c r="K138" t="s">
        <v>28</v>
      </c>
    </row>
    <row r="139" spans="1:11" x14ac:dyDescent="0.2">
      <c r="A139" t="s">
        <v>921</v>
      </c>
      <c r="B139" t="s">
        <v>922</v>
      </c>
      <c r="C139" t="s">
        <v>923</v>
      </c>
      <c r="D139" t="str">
        <f>"2450"</f>
        <v>2450</v>
      </c>
      <c r="E139" t="s">
        <v>221</v>
      </c>
      <c r="F139" t="s">
        <v>924</v>
      </c>
      <c r="G139" t="str">
        <f>"29.06.2018"</f>
        <v>29.06.2018</v>
      </c>
      <c r="H139" t="s">
        <v>925</v>
      </c>
      <c r="I139" t="s">
        <v>926</v>
      </c>
      <c r="J139" t="s">
        <v>927</v>
      </c>
      <c r="K139" t="s">
        <v>28</v>
      </c>
    </row>
    <row r="140" spans="1:11" x14ac:dyDescent="0.2">
      <c r="A140" t="s">
        <v>928</v>
      </c>
      <c r="B140" t="s">
        <v>929</v>
      </c>
      <c r="C140" t="s">
        <v>930</v>
      </c>
      <c r="D140" t="str">
        <f>"2970"</f>
        <v>2970</v>
      </c>
      <c r="E140" t="s">
        <v>71</v>
      </c>
      <c r="F140" t="s">
        <v>931</v>
      </c>
      <c r="G140" t="str">
        <f>"28.04.2016"</f>
        <v>28.04.2016</v>
      </c>
      <c r="H140" t="s">
        <v>932</v>
      </c>
      <c r="I140" t="s">
        <v>933</v>
      </c>
      <c r="J140" t="s">
        <v>934</v>
      </c>
      <c r="K140" t="s">
        <v>19</v>
      </c>
    </row>
    <row r="141" spans="1:11" x14ac:dyDescent="0.2">
      <c r="A141" t="s">
        <v>935</v>
      </c>
      <c r="B141" t="s">
        <v>936</v>
      </c>
      <c r="C141" t="s">
        <v>937</v>
      </c>
      <c r="D141" t="str">
        <f>"2800"</f>
        <v>2800</v>
      </c>
      <c r="E141" t="s">
        <v>23</v>
      </c>
      <c r="F141" t="s">
        <v>938</v>
      </c>
      <c r="G141" t="str">
        <f>"01.12.2018"</f>
        <v>01.12.2018</v>
      </c>
      <c r="H141" t="s">
        <v>939</v>
      </c>
      <c r="I141" t="s">
        <v>940</v>
      </c>
      <c r="J141" t="s">
        <v>941</v>
      </c>
      <c r="K141" t="s">
        <v>942</v>
      </c>
    </row>
    <row r="142" spans="1:11" x14ac:dyDescent="0.2">
      <c r="A142" t="s">
        <v>943</v>
      </c>
      <c r="B142" t="s">
        <v>944</v>
      </c>
      <c r="C142" t="s">
        <v>945</v>
      </c>
      <c r="D142" t="str">
        <f>"2150"</f>
        <v>2150</v>
      </c>
      <c r="E142" t="s">
        <v>946</v>
      </c>
      <c r="F142" t="s">
        <v>947</v>
      </c>
      <c r="G142" t="str">
        <f>"12.01.2013"</f>
        <v>12.01.2013</v>
      </c>
      <c r="H142" t="s">
        <v>315</v>
      </c>
      <c r="I142" t="s">
        <v>948</v>
      </c>
      <c r="J142" t="s">
        <v>949</v>
      </c>
      <c r="K142" t="s">
        <v>551</v>
      </c>
    </row>
    <row r="143" spans="1:11" x14ac:dyDescent="0.2">
      <c r="A143" t="s">
        <v>950</v>
      </c>
      <c r="B143" t="s">
        <v>951</v>
      </c>
      <c r="C143" t="s">
        <v>952</v>
      </c>
      <c r="D143" t="str">
        <f>"2100"</f>
        <v>2100</v>
      </c>
      <c r="E143" t="s">
        <v>14</v>
      </c>
      <c r="F143" t="s">
        <v>953</v>
      </c>
      <c r="G143" t="str">
        <f>"18.03.2019"</f>
        <v>18.03.2019</v>
      </c>
      <c r="H143" t="s">
        <v>954</v>
      </c>
      <c r="I143" t="s">
        <v>955</v>
      </c>
      <c r="J143" t="s">
        <v>956</v>
      </c>
      <c r="K143" t="s">
        <v>19</v>
      </c>
    </row>
    <row r="144" spans="1:11" x14ac:dyDescent="0.2">
      <c r="A144" t="s">
        <v>957</v>
      </c>
      <c r="B144" t="s">
        <v>958</v>
      </c>
      <c r="C144" t="s">
        <v>959</v>
      </c>
      <c r="D144" t="str">
        <f>"8200"</f>
        <v>8200</v>
      </c>
      <c r="E144" t="s">
        <v>229</v>
      </c>
      <c r="F144" t="s">
        <v>960</v>
      </c>
      <c r="G144" t="str">
        <f>"03.08.2015"</f>
        <v>03.08.2015</v>
      </c>
      <c r="H144" t="s">
        <v>961</v>
      </c>
      <c r="I144" t="s">
        <v>962</v>
      </c>
      <c r="J144" t="s">
        <v>963</v>
      </c>
      <c r="K144" t="s">
        <v>19</v>
      </c>
    </row>
    <row r="145" spans="1:11" x14ac:dyDescent="0.2">
      <c r="A145" t="s">
        <v>964</v>
      </c>
      <c r="B145" t="s">
        <v>965</v>
      </c>
      <c r="C145" t="s">
        <v>966</v>
      </c>
      <c r="D145" t="str">
        <f>"4760"</f>
        <v>4760</v>
      </c>
      <c r="E145" t="s">
        <v>967</v>
      </c>
      <c r="F145" t="s">
        <v>968</v>
      </c>
      <c r="G145" t="str">
        <f>"02.01.2007"</f>
        <v>02.01.2007</v>
      </c>
      <c r="H145" t="s">
        <v>969</v>
      </c>
      <c r="I145" t="s">
        <v>970</v>
      </c>
      <c r="J145" t="s">
        <v>971</v>
      </c>
      <c r="K145" t="s">
        <v>28</v>
      </c>
    </row>
    <row r="146" spans="1:11" x14ac:dyDescent="0.2">
      <c r="A146" t="s">
        <v>972</v>
      </c>
      <c r="B146" t="s">
        <v>973</v>
      </c>
      <c r="C146" t="s">
        <v>974</v>
      </c>
      <c r="D146" t="str">
        <f>"2980"</f>
        <v>2980</v>
      </c>
      <c r="E146" t="s">
        <v>975</v>
      </c>
      <c r="F146" t="s">
        <v>976</v>
      </c>
      <c r="G146" t="str">
        <f>"26.09.2007"</f>
        <v>26.09.2007</v>
      </c>
      <c r="H146" t="s">
        <v>977</v>
      </c>
      <c r="I146" t="s">
        <v>978</v>
      </c>
      <c r="J146" t="s">
        <v>979</v>
      </c>
      <c r="K146" t="s">
        <v>980</v>
      </c>
    </row>
    <row r="147" spans="1:11" x14ac:dyDescent="0.2">
      <c r="A147" t="s">
        <v>981</v>
      </c>
      <c r="B147" t="s">
        <v>982</v>
      </c>
      <c r="C147" t="s">
        <v>983</v>
      </c>
      <c r="D147" t="str">
        <f>"1711"</f>
        <v>1711</v>
      </c>
      <c r="E147" t="s">
        <v>140</v>
      </c>
      <c r="F147" t="s">
        <v>984</v>
      </c>
      <c r="G147" t="str">
        <f>"01.10.2014"</f>
        <v>01.10.2014</v>
      </c>
      <c r="H147" t="s">
        <v>985</v>
      </c>
      <c r="I147" t="s">
        <v>986</v>
      </c>
      <c r="J147" t="s">
        <v>987</v>
      </c>
      <c r="K147" t="s">
        <v>19</v>
      </c>
    </row>
    <row r="148" spans="1:11" x14ac:dyDescent="0.2">
      <c r="A148" t="s">
        <v>988</v>
      </c>
      <c r="B148" t="s">
        <v>989</v>
      </c>
      <c r="C148" t="s">
        <v>990</v>
      </c>
      <c r="D148" t="str">
        <f>"1263"</f>
        <v>1263</v>
      </c>
      <c r="E148" t="s">
        <v>48</v>
      </c>
      <c r="F148" t="s">
        <v>991</v>
      </c>
      <c r="G148" t="str">
        <f>"05.06.2015"</f>
        <v>05.06.2015</v>
      </c>
      <c r="H148" t="s">
        <v>992</v>
      </c>
      <c r="I148" t="s">
        <v>993</v>
      </c>
      <c r="J148" t="s">
        <v>994</v>
      </c>
      <c r="K148" t="s">
        <v>19</v>
      </c>
    </row>
    <row r="149" spans="1:11" x14ac:dyDescent="0.2">
      <c r="A149" t="s">
        <v>995</v>
      </c>
      <c r="B149" t="s">
        <v>996</v>
      </c>
      <c r="C149" t="s">
        <v>997</v>
      </c>
      <c r="D149" t="str">
        <f>"2450"</f>
        <v>2450</v>
      </c>
      <c r="E149" t="s">
        <v>221</v>
      </c>
      <c r="F149" t="s">
        <v>998</v>
      </c>
      <c r="G149" t="str">
        <f>"17.03.2014"</f>
        <v>17.03.2014</v>
      </c>
      <c r="H149" t="s">
        <v>999</v>
      </c>
      <c r="I149" t="s">
        <v>1000</v>
      </c>
      <c r="J149" t="s">
        <v>1001</v>
      </c>
      <c r="K149" t="s">
        <v>161</v>
      </c>
    </row>
    <row r="150" spans="1:11" x14ac:dyDescent="0.2">
      <c r="A150" t="s">
        <v>1002</v>
      </c>
      <c r="B150" t="s">
        <v>1003</v>
      </c>
      <c r="C150" t="s">
        <v>1004</v>
      </c>
      <c r="D150" t="str">
        <f>"2300"</f>
        <v>2300</v>
      </c>
      <c r="E150" t="s">
        <v>253</v>
      </c>
      <c r="F150" t="s">
        <v>1005</v>
      </c>
      <c r="G150" t="str">
        <f>"18.05.2018"</f>
        <v>18.05.2018</v>
      </c>
      <c r="H150" t="s">
        <v>1006</v>
      </c>
      <c r="I150" t="s">
        <v>1007</v>
      </c>
      <c r="J150" t="s">
        <v>1008</v>
      </c>
      <c r="K150" t="s">
        <v>19</v>
      </c>
    </row>
    <row r="151" spans="1:11" x14ac:dyDescent="0.2">
      <c r="A151" t="s">
        <v>1009</v>
      </c>
      <c r="B151" t="s">
        <v>1010</v>
      </c>
      <c r="C151" t="s">
        <v>13</v>
      </c>
      <c r="D151" t="str">
        <f>"2100"</f>
        <v>2100</v>
      </c>
      <c r="E151" t="s">
        <v>14</v>
      </c>
      <c r="F151" t="s">
        <v>1011</v>
      </c>
      <c r="G151" t="str">
        <f>"07.08.2017"</f>
        <v>07.08.2017</v>
      </c>
      <c r="H151" t="s">
        <v>1012</v>
      </c>
      <c r="I151" t="s">
        <v>1013</v>
      </c>
      <c r="J151" t="s">
        <v>1014</v>
      </c>
      <c r="K151" t="s">
        <v>19</v>
      </c>
    </row>
    <row r="152" spans="1:11" x14ac:dyDescent="0.2">
      <c r="A152" t="s">
        <v>1015</v>
      </c>
      <c r="B152" t="s">
        <v>1016</v>
      </c>
      <c r="C152" t="s">
        <v>1017</v>
      </c>
      <c r="D152" t="str">
        <f>"8000"</f>
        <v>8000</v>
      </c>
      <c r="E152" t="s">
        <v>63</v>
      </c>
      <c r="F152" t="s">
        <v>1018</v>
      </c>
      <c r="G152" t="str">
        <f>"15.02.1995"</f>
        <v>15.02.1995</v>
      </c>
      <c r="H152" t="s">
        <v>1019</v>
      </c>
      <c r="I152" t="s">
        <v>1020</v>
      </c>
      <c r="J152" t="s">
        <v>1021</v>
      </c>
      <c r="K152" t="s">
        <v>1022</v>
      </c>
    </row>
    <row r="153" spans="1:11" x14ac:dyDescent="0.2">
      <c r="A153" t="s">
        <v>1023</v>
      </c>
      <c r="B153" t="s">
        <v>1024</v>
      </c>
      <c r="C153" t="s">
        <v>22</v>
      </c>
      <c r="D153" t="str">
        <f>"2800"</f>
        <v>2800</v>
      </c>
      <c r="E153" t="s">
        <v>321</v>
      </c>
      <c r="F153" t="s">
        <v>1025</v>
      </c>
      <c r="G153" t="str">
        <f>"05.11.2010"</f>
        <v>05.11.2010</v>
      </c>
      <c r="H153" t="s">
        <v>1026</v>
      </c>
      <c r="I153" t="s">
        <v>1027</v>
      </c>
      <c r="J153" t="s">
        <v>1028</v>
      </c>
      <c r="K153" t="s">
        <v>28</v>
      </c>
    </row>
    <row r="154" spans="1:11" x14ac:dyDescent="0.2">
      <c r="A154" t="s">
        <v>1029</v>
      </c>
      <c r="B154" t="s">
        <v>1030</v>
      </c>
      <c r="C154" t="s">
        <v>1031</v>
      </c>
      <c r="D154" t="str">
        <f>"2400"</f>
        <v>2400</v>
      </c>
      <c r="E154" t="s">
        <v>79</v>
      </c>
      <c r="F154" t="s">
        <v>1032</v>
      </c>
      <c r="G154" t="str">
        <f>"01.01.2007"</f>
        <v>01.01.2007</v>
      </c>
      <c r="H154" t="s">
        <v>1033</v>
      </c>
      <c r="I154" t="s">
        <v>1034</v>
      </c>
      <c r="J154" t="s">
        <v>1035</v>
      </c>
      <c r="K154" t="s">
        <v>28</v>
      </c>
    </row>
    <row r="155" spans="1:11" x14ac:dyDescent="0.2">
      <c r="A155" t="s">
        <v>1036</v>
      </c>
      <c r="B155" t="s">
        <v>1037</v>
      </c>
      <c r="C155" t="s">
        <v>1038</v>
      </c>
      <c r="D155" t="str">
        <f>"2750"</f>
        <v>2750</v>
      </c>
      <c r="E155" t="s">
        <v>1039</v>
      </c>
      <c r="F155" t="s">
        <v>1040</v>
      </c>
      <c r="G155" t="str">
        <f>"22.06.2011"</f>
        <v>22.06.2011</v>
      </c>
      <c r="H155" t="s">
        <v>1041</v>
      </c>
      <c r="I155" t="s">
        <v>1042</v>
      </c>
      <c r="J155" t="s">
        <v>1043</v>
      </c>
      <c r="K155" t="s">
        <v>19</v>
      </c>
    </row>
    <row r="156" spans="1:11" x14ac:dyDescent="0.2">
      <c r="A156" t="s">
        <v>1044</v>
      </c>
      <c r="B156" t="s">
        <v>1045</v>
      </c>
      <c r="C156" t="s">
        <v>983</v>
      </c>
      <c r="D156" t="str">
        <f>"1711"</f>
        <v>1711</v>
      </c>
      <c r="E156" t="s">
        <v>140</v>
      </c>
      <c r="F156" t="s">
        <v>1046</v>
      </c>
      <c r="G156" t="str">
        <f>"24.01.2006"</f>
        <v>24.01.2006</v>
      </c>
      <c r="H156" t="s">
        <v>1047</v>
      </c>
      <c r="I156" t="s">
        <v>1048</v>
      </c>
      <c r="J156" t="s">
        <v>1049</v>
      </c>
      <c r="K156" t="s">
        <v>1050</v>
      </c>
    </row>
    <row r="157" spans="1:11" x14ac:dyDescent="0.2">
      <c r="A157" t="s">
        <v>1051</v>
      </c>
      <c r="B157" t="s">
        <v>1052</v>
      </c>
      <c r="C157" t="s">
        <v>1053</v>
      </c>
      <c r="D157" t="str">
        <f>"8200"</f>
        <v>8200</v>
      </c>
      <c r="E157" t="s">
        <v>229</v>
      </c>
      <c r="F157" t="s">
        <v>1054</v>
      </c>
      <c r="G157" t="str">
        <f>"06.03.2008"</f>
        <v>06.03.2008</v>
      </c>
      <c r="H157" t="s">
        <v>1055</v>
      </c>
      <c r="I157" t="s">
        <v>1056</v>
      </c>
      <c r="J157" t="s">
        <v>1057</v>
      </c>
      <c r="K157" t="s">
        <v>310</v>
      </c>
    </row>
    <row r="158" spans="1:11" x14ac:dyDescent="0.2">
      <c r="A158" t="s">
        <v>1058</v>
      </c>
      <c r="B158" t="s">
        <v>1059</v>
      </c>
      <c r="C158" t="s">
        <v>1060</v>
      </c>
      <c r="D158" t="str">
        <f>"8000"</f>
        <v>8000</v>
      </c>
      <c r="E158" t="s">
        <v>63</v>
      </c>
      <c r="F158" t="s">
        <v>1061</v>
      </c>
      <c r="G158" t="str">
        <f>"08.06.2016"</f>
        <v>08.06.2016</v>
      </c>
      <c r="H158" t="s">
        <v>1062</v>
      </c>
      <c r="I158" t="s">
        <v>1063</v>
      </c>
      <c r="J158" t="s">
        <v>1064</v>
      </c>
      <c r="K158" t="s">
        <v>28</v>
      </c>
    </row>
    <row r="159" spans="1:11" x14ac:dyDescent="0.2">
      <c r="A159" t="s">
        <v>1065</v>
      </c>
      <c r="B159" t="s">
        <v>1066</v>
      </c>
      <c r="C159" t="s">
        <v>1067</v>
      </c>
      <c r="D159" t="str">
        <f>"2500"</f>
        <v>2500</v>
      </c>
      <c r="E159" t="s">
        <v>1068</v>
      </c>
      <c r="F159" t="s">
        <v>1069</v>
      </c>
      <c r="G159" t="str">
        <f>"24.03.2021"</f>
        <v>24.03.2021</v>
      </c>
      <c r="H159" t="s">
        <v>1070</v>
      </c>
      <c r="I159" t="s">
        <v>1071</v>
      </c>
      <c r="J159" t="s">
        <v>1072</v>
      </c>
      <c r="K159" t="s">
        <v>28</v>
      </c>
    </row>
    <row r="160" spans="1:11" x14ac:dyDescent="0.2">
      <c r="A160" t="s">
        <v>1073</v>
      </c>
      <c r="B160" t="s">
        <v>1074</v>
      </c>
      <c r="C160" t="s">
        <v>1075</v>
      </c>
      <c r="D160" t="str">
        <f>"8200"</f>
        <v>8200</v>
      </c>
      <c r="E160" t="s">
        <v>229</v>
      </c>
      <c r="F160" t="s">
        <v>1076</v>
      </c>
      <c r="G160" t="str">
        <f>"13.04.2016"</f>
        <v>13.04.2016</v>
      </c>
      <c r="H160" t="s">
        <v>315</v>
      </c>
      <c r="I160" t="s">
        <v>1077</v>
      </c>
      <c r="J160" t="s">
        <v>1078</v>
      </c>
      <c r="K160" t="s">
        <v>28</v>
      </c>
    </row>
    <row r="161" spans="1:11" x14ac:dyDescent="0.2">
      <c r="A161" t="s">
        <v>1079</v>
      </c>
      <c r="B161" t="s">
        <v>1080</v>
      </c>
      <c r="C161" t="s">
        <v>1081</v>
      </c>
      <c r="D161" t="str">
        <f>"1260"</f>
        <v>1260</v>
      </c>
      <c r="E161" t="s">
        <v>48</v>
      </c>
      <c r="F161" t="s">
        <v>1082</v>
      </c>
      <c r="G161" t="str">
        <f>"17.12.2014"</f>
        <v>17.12.2014</v>
      </c>
      <c r="H161" t="s">
        <v>1083</v>
      </c>
      <c r="I161" t="s">
        <v>1084</v>
      </c>
      <c r="J161" t="s">
        <v>1085</v>
      </c>
      <c r="K161" t="s">
        <v>28</v>
      </c>
    </row>
    <row r="162" spans="1:11" x14ac:dyDescent="0.2">
      <c r="A162" t="s">
        <v>1086</v>
      </c>
      <c r="B162" t="s">
        <v>1087</v>
      </c>
      <c r="C162" t="s">
        <v>1088</v>
      </c>
      <c r="D162" t="str">
        <f>"2200"</f>
        <v>2200</v>
      </c>
      <c r="E162" t="s">
        <v>269</v>
      </c>
      <c r="F162" t="s">
        <v>1089</v>
      </c>
      <c r="G162" t="str">
        <f>"01.01.2017"</f>
        <v>01.01.2017</v>
      </c>
      <c r="H162" t="s">
        <v>1090</v>
      </c>
      <c r="I162" t="s">
        <v>1091</v>
      </c>
      <c r="J162" t="s">
        <v>1092</v>
      </c>
      <c r="K162" t="s">
        <v>1093</v>
      </c>
    </row>
    <row r="163" spans="1:11" x14ac:dyDescent="0.2">
      <c r="A163" t="s">
        <v>1094</v>
      </c>
      <c r="B163" t="s">
        <v>1095</v>
      </c>
      <c r="C163" t="s">
        <v>1096</v>
      </c>
      <c r="D163" t="str">
        <f>"1401"</f>
        <v>1401</v>
      </c>
      <c r="E163" t="s">
        <v>48</v>
      </c>
      <c r="F163" t="s">
        <v>1097</v>
      </c>
      <c r="G163" t="str">
        <f>"06.04.2017"</f>
        <v>06.04.2017</v>
      </c>
      <c r="H163" t="s">
        <v>1098</v>
      </c>
      <c r="I163" t="s">
        <v>1099</v>
      </c>
      <c r="J163" t="s">
        <v>1100</v>
      </c>
      <c r="K163" t="s">
        <v>443</v>
      </c>
    </row>
    <row r="164" spans="1:11" x14ac:dyDescent="0.2">
      <c r="A164" t="s">
        <v>1101</v>
      </c>
      <c r="B164" t="s">
        <v>1102</v>
      </c>
      <c r="C164" t="s">
        <v>1103</v>
      </c>
      <c r="D164" t="str">
        <f>"8900"</f>
        <v>8900</v>
      </c>
      <c r="E164" t="s">
        <v>1104</v>
      </c>
      <c r="F164" t="s">
        <v>1105</v>
      </c>
      <c r="G164" t="str">
        <f>"01.01.2017"</f>
        <v>01.01.2017</v>
      </c>
      <c r="H164" t="s">
        <v>1106</v>
      </c>
      <c r="I164" t="s">
        <v>1107</v>
      </c>
      <c r="J164" t="s">
        <v>1108</v>
      </c>
      <c r="K164" t="s">
        <v>28</v>
      </c>
    </row>
    <row r="165" spans="1:11" x14ac:dyDescent="0.2">
      <c r="A165" t="s">
        <v>1109</v>
      </c>
      <c r="B165" t="s">
        <v>1110</v>
      </c>
      <c r="C165" t="s">
        <v>1111</v>
      </c>
      <c r="D165" t="str">
        <f>"2300"</f>
        <v>2300</v>
      </c>
      <c r="E165" t="s">
        <v>253</v>
      </c>
      <c r="F165" t="s">
        <v>1112</v>
      </c>
      <c r="G165" t="str">
        <f>"28.05.2015"</f>
        <v>28.05.2015</v>
      </c>
      <c r="H165" t="s">
        <v>1113</v>
      </c>
      <c r="I165" t="s">
        <v>1114</v>
      </c>
      <c r="J165" t="s">
        <v>1115</v>
      </c>
      <c r="K165" t="s">
        <v>19</v>
      </c>
    </row>
    <row r="166" spans="1:11" x14ac:dyDescent="0.2">
      <c r="A166" t="s">
        <v>1116</v>
      </c>
      <c r="B166" t="s">
        <v>1117</v>
      </c>
      <c r="C166" t="s">
        <v>1118</v>
      </c>
      <c r="D166" t="str">
        <f>"2300"</f>
        <v>2300</v>
      </c>
      <c r="E166" t="s">
        <v>253</v>
      </c>
      <c r="F166" t="s">
        <v>1119</v>
      </c>
      <c r="G166" t="str">
        <f>"21.08.2016"</f>
        <v>21.08.2016</v>
      </c>
      <c r="H166" t="s">
        <v>1120</v>
      </c>
      <c r="I166" t="s">
        <v>1121</v>
      </c>
      <c r="J166" t="s">
        <v>1122</v>
      </c>
      <c r="K166" t="s">
        <v>1123</v>
      </c>
    </row>
    <row r="167" spans="1:11" x14ac:dyDescent="0.2">
      <c r="A167" t="s">
        <v>1124</v>
      </c>
      <c r="B167" t="s">
        <v>1125</v>
      </c>
      <c r="C167" t="s">
        <v>1126</v>
      </c>
      <c r="D167" t="str">
        <f>"2605"</f>
        <v>2605</v>
      </c>
      <c r="E167" t="s">
        <v>337</v>
      </c>
      <c r="F167" t="s">
        <v>1127</v>
      </c>
      <c r="G167" t="str">
        <f>"12.02.2009"</f>
        <v>12.02.2009</v>
      </c>
      <c r="H167" t="s">
        <v>1128</v>
      </c>
      <c r="I167" t="s">
        <v>1129</v>
      </c>
      <c r="J167" t="s">
        <v>1130</v>
      </c>
      <c r="K167" t="s">
        <v>1131</v>
      </c>
    </row>
    <row r="168" spans="1:11" x14ac:dyDescent="0.2">
      <c r="A168" t="s">
        <v>1132</v>
      </c>
      <c r="B168" t="s">
        <v>1133</v>
      </c>
      <c r="C168" t="s">
        <v>1134</v>
      </c>
      <c r="D168" t="str">
        <f>"1674"</f>
        <v>1674</v>
      </c>
      <c r="E168" t="s">
        <v>140</v>
      </c>
      <c r="F168" t="s">
        <v>1135</v>
      </c>
      <c r="G168" t="str">
        <f>"09.01.2014"</f>
        <v>09.01.2014</v>
      </c>
      <c r="H168" t="s">
        <v>1136</v>
      </c>
      <c r="I168" t="s">
        <v>1137</v>
      </c>
      <c r="J168" t="s">
        <v>1138</v>
      </c>
      <c r="K168" t="s">
        <v>435</v>
      </c>
    </row>
    <row r="169" spans="1:11" x14ac:dyDescent="0.2">
      <c r="A169" t="s">
        <v>1139</v>
      </c>
      <c r="B169" t="s">
        <v>1140</v>
      </c>
      <c r="C169" t="s">
        <v>1141</v>
      </c>
      <c r="D169" t="str">
        <f>"1434"</f>
        <v>1434</v>
      </c>
      <c r="E169" t="s">
        <v>48</v>
      </c>
      <c r="F169" t="s">
        <v>1142</v>
      </c>
      <c r="G169" t="str">
        <f>"25.03.2004"</f>
        <v>25.03.2004</v>
      </c>
      <c r="H169" t="s">
        <v>1143</v>
      </c>
      <c r="I169" t="s">
        <v>1144</v>
      </c>
      <c r="J169" t="s">
        <v>1145</v>
      </c>
      <c r="K169" t="s">
        <v>28</v>
      </c>
    </row>
    <row r="170" spans="1:11" x14ac:dyDescent="0.2">
      <c r="A170" t="s">
        <v>1146</v>
      </c>
      <c r="B170" t="s">
        <v>1147</v>
      </c>
      <c r="C170" t="s">
        <v>1148</v>
      </c>
      <c r="D170" t="str">
        <f>"1361"</f>
        <v>1361</v>
      </c>
      <c r="E170" t="s">
        <v>48</v>
      </c>
      <c r="F170" t="s">
        <v>1149</v>
      </c>
      <c r="G170" t="str">
        <f>"16.05.2014"</f>
        <v>16.05.2014</v>
      </c>
      <c r="H170" t="s">
        <v>1150</v>
      </c>
      <c r="I170" t="s">
        <v>1151</v>
      </c>
      <c r="J170" t="s">
        <v>1152</v>
      </c>
      <c r="K170" t="s">
        <v>443</v>
      </c>
    </row>
    <row r="171" spans="1:11" x14ac:dyDescent="0.2">
      <c r="A171" t="s">
        <v>1153</v>
      </c>
      <c r="B171" t="s">
        <v>1154</v>
      </c>
      <c r="C171" t="s">
        <v>1155</v>
      </c>
      <c r="D171" t="str">
        <f>"2920"</f>
        <v>2920</v>
      </c>
      <c r="E171" t="s">
        <v>1156</v>
      </c>
      <c r="F171" t="s">
        <v>1157</v>
      </c>
      <c r="G171" t="str">
        <f>"16.04.2014"</f>
        <v>16.04.2014</v>
      </c>
      <c r="H171" t="s">
        <v>1158</v>
      </c>
      <c r="I171" t="s">
        <v>1159</v>
      </c>
      <c r="J171" t="s">
        <v>1160</v>
      </c>
      <c r="K171" t="s">
        <v>28</v>
      </c>
    </row>
    <row r="172" spans="1:11" x14ac:dyDescent="0.2">
      <c r="A172" t="s">
        <v>1161</v>
      </c>
      <c r="B172" t="s">
        <v>1162</v>
      </c>
      <c r="C172" t="s">
        <v>1163</v>
      </c>
      <c r="D172" t="str">
        <f>"2450"</f>
        <v>2450</v>
      </c>
      <c r="E172" t="s">
        <v>221</v>
      </c>
      <c r="F172" t="s">
        <v>1164</v>
      </c>
      <c r="G172" t="str">
        <f>"02.07.2013"</f>
        <v>02.07.2013</v>
      </c>
      <c r="H172" t="s">
        <v>1165</v>
      </c>
      <c r="I172" t="s">
        <v>1166</v>
      </c>
      <c r="J172" t="s">
        <v>1167</v>
      </c>
      <c r="K172" t="s">
        <v>19</v>
      </c>
    </row>
    <row r="173" spans="1:11" x14ac:dyDescent="0.2">
      <c r="A173" t="s">
        <v>1168</v>
      </c>
      <c r="B173" t="s">
        <v>1169</v>
      </c>
      <c r="C173" t="s">
        <v>1170</v>
      </c>
      <c r="D173" t="str">
        <f>"2730"</f>
        <v>2730</v>
      </c>
      <c r="E173" t="s">
        <v>730</v>
      </c>
      <c r="F173" t="s">
        <v>1171</v>
      </c>
      <c r="G173" t="str">
        <f>"09.09.2014"</f>
        <v>09.09.2014</v>
      </c>
      <c r="H173" t="s">
        <v>1172</v>
      </c>
      <c r="I173" t="s">
        <v>1173</v>
      </c>
      <c r="J173" t="s">
        <v>1174</v>
      </c>
      <c r="K173" t="s">
        <v>19</v>
      </c>
    </row>
    <row r="174" spans="1:11" x14ac:dyDescent="0.2">
      <c r="A174" t="s">
        <v>1175</v>
      </c>
      <c r="B174" t="s">
        <v>1176</v>
      </c>
      <c r="C174" t="s">
        <v>1177</v>
      </c>
      <c r="D174" t="str">
        <f>"5260"</f>
        <v>5260</v>
      </c>
      <c r="E174" t="s">
        <v>1178</v>
      </c>
      <c r="F174" t="s">
        <v>1179</v>
      </c>
      <c r="G174" t="str">
        <f>"16.02.2011"</f>
        <v>16.02.2011</v>
      </c>
      <c r="H174" t="s">
        <v>1180</v>
      </c>
      <c r="I174" t="s">
        <v>1181</v>
      </c>
      <c r="J174" t="s">
        <v>1182</v>
      </c>
      <c r="K174" t="s">
        <v>28</v>
      </c>
    </row>
    <row r="175" spans="1:11" x14ac:dyDescent="0.2">
      <c r="A175" t="s">
        <v>1183</v>
      </c>
      <c r="B175" t="s">
        <v>1184</v>
      </c>
      <c r="C175" t="s">
        <v>1185</v>
      </c>
      <c r="D175" t="str">
        <f>"2800"</f>
        <v>2800</v>
      </c>
      <c r="E175" t="s">
        <v>1186</v>
      </c>
      <c r="F175" t="s">
        <v>1187</v>
      </c>
      <c r="G175" t="str">
        <f>"05.07.2002"</f>
        <v>05.07.2002</v>
      </c>
      <c r="H175" t="s">
        <v>1188</v>
      </c>
      <c r="I175" t="s">
        <v>1189</v>
      </c>
      <c r="J175" t="s">
        <v>1190</v>
      </c>
      <c r="K175" t="s">
        <v>559</v>
      </c>
    </row>
    <row r="176" spans="1:11" x14ac:dyDescent="0.2">
      <c r="A176" t="s">
        <v>1191</v>
      </c>
      <c r="B176" t="s">
        <v>1192</v>
      </c>
      <c r="C176" t="s">
        <v>1193</v>
      </c>
      <c r="D176" t="str">
        <f>"2720"</f>
        <v>2720</v>
      </c>
      <c r="E176" t="s">
        <v>672</v>
      </c>
      <c r="F176" t="s">
        <v>1194</v>
      </c>
      <c r="G176" t="str">
        <f>"19.05.2017"</f>
        <v>19.05.2017</v>
      </c>
      <c r="H176" t="s">
        <v>1195</v>
      </c>
      <c r="I176" t="s">
        <v>1196</v>
      </c>
      <c r="J176" t="s">
        <v>1197</v>
      </c>
      <c r="K176" t="s">
        <v>742</v>
      </c>
    </row>
    <row r="177" spans="1:11" x14ac:dyDescent="0.2">
      <c r="A177" t="s">
        <v>1198</v>
      </c>
      <c r="B177" t="s">
        <v>1199</v>
      </c>
      <c r="C177" t="s">
        <v>1200</v>
      </c>
      <c r="D177" t="str">
        <f>"5000"</f>
        <v>5000</v>
      </c>
      <c r="E177" t="s">
        <v>477</v>
      </c>
      <c r="F177" t="s">
        <v>1201</v>
      </c>
      <c r="G177" t="str">
        <f>"01.07.2007"</f>
        <v>01.07.2007</v>
      </c>
      <c r="H177" t="s">
        <v>1202</v>
      </c>
      <c r="I177" t="s">
        <v>1203</v>
      </c>
      <c r="J177" t="s">
        <v>1204</v>
      </c>
      <c r="K177" t="s">
        <v>1205</v>
      </c>
    </row>
    <row r="178" spans="1:11" x14ac:dyDescent="0.2">
      <c r="A178" t="s">
        <v>1206</v>
      </c>
      <c r="B178" t="s">
        <v>1207</v>
      </c>
      <c r="C178" t="s">
        <v>1208</v>
      </c>
      <c r="D178" t="str">
        <f>"1459"</f>
        <v>1459</v>
      </c>
      <c r="E178" t="s">
        <v>48</v>
      </c>
      <c r="F178" t="s">
        <v>1209</v>
      </c>
      <c r="G178" t="str">
        <f>"19.12.2014"</f>
        <v>19.12.2014</v>
      </c>
      <c r="H178" t="s">
        <v>1210</v>
      </c>
      <c r="I178" t="s">
        <v>1211</v>
      </c>
      <c r="J178" t="s">
        <v>1212</v>
      </c>
      <c r="K178" t="s">
        <v>1213</v>
      </c>
    </row>
    <row r="179" spans="1:11" x14ac:dyDescent="0.2">
      <c r="A179" t="s">
        <v>1214</v>
      </c>
      <c r="B179" t="s">
        <v>1215</v>
      </c>
      <c r="C179" t="s">
        <v>1216</v>
      </c>
      <c r="D179" t="str">
        <f>"1260"</f>
        <v>1260</v>
      </c>
      <c r="E179" t="s">
        <v>48</v>
      </c>
      <c r="F179" t="s">
        <v>1217</v>
      </c>
      <c r="G179" t="str">
        <f>"26.08.2016"</f>
        <v>26.08.2016</v>
      </c>
      <c r="H179" t="s">
        <v>1218</v>
      </c>
      <c r="I179" t="s">
        <v>1219</v>
      </c>
      <c r="J179" t="s">
        <v>1220</v>
      </c>
      <c r="K179" t="s">
        <v>28</v>
      </c>
    </row>
    <row r="180" spans="1:11" x14ac:dyDescent="0.2">
      <c r="A180" t="s">
        <v>1221</v>
      </c>
      <c r="B180" t="s">
        <v>1222</v>
      </c>
      <c r="C180" t="s">
        <v>1223</v>
      </c>
      <c r="D180" t="str">
        <f>"8220"</f>
        <v>8220</v>
      </c>
      <c r="E180" t="s">
        <v>522</v>
      </c>
      <c r="F180" t="s">
        <v>1224</v>
      </c>
      <c r="G180" t="str">
        <f>"01.11.2015"</f>
        <v>01.11.2015</v>
      </c>
      <c r="H180" t="s">
        <v>1225</v>
      </c>
      <c r="I180" t="s">
        <v>1226</v>
      </c>
      <c r="J180" t="s">
        <v>1227</v>
      </c>
      <c r="K180" t="s">
        <v>1228</v>
      </c>
    </row>
    <row r="181" spans="1:11" x14ac:dyDescent="0.2">
      <c r="A181" t="s">
        <v>1229</v>
      </c>
      <c r="B181" t="s">
        <v>1230</v>
      </c>
      <c r="C181" t="s">
        <v>1231</v>
      </c>
      <c r="D181" t="str">
        <f>"7100"</f>
        <v>7100</v>
      </c>
      <c r="E181" t="s">
        <v>1232</v>
      </c>
      <c r="F181" t="s">
        <v>1233</v>
      </c>
      <c r="G181" t="str">
        <f>"22.06.2017"</f>
        <v>22.06.2017</v>
      </c>
      <c r="H181" t="s">
        <v>1234</v>
      </c>
      <c r="I181" t="s">
        <v>1235</v>
      </c>
      <c r="J181" t="s">
        <v>1236</v>
      </c>
      <c r="K181" t="s">
        <v>28</v>
      </c>
    </row>
    <row r="182" spans="1:11" x14ac:dyDescent="0.2">
      <c r="A182" t="s">
        <v>1237</v>
      </c>
      <c r="B182" t="s">
        <v>1238</v>
      </c>
      <c r="C182" t="s">
        <v>1239</v>
      </c>
      <c r="D182" t="str">
        <f>"8260"</f>
        <v>8260</v>
      </c>
      <c r="E182" t="s">
        <v>681</v>
      </c>
      <c r="F182" t="s">
        <v>1240</v>
      </c>
      <c r="G182" t="str">
        <f>"13.11.2012"</f>
        <v>13.11.2012</v>
      </c>
      <c r="H182" t="s">
        <v>1241</v>
      </c>
      <c r="I182" t="s">
        <v>1242</v>
      </c>
      <c r="J182" t="s">
        <v>1243</v>
      </c>
      <c r="K182" t="s">
        <v>410</v>
      </c>
    </row>
    <row r="183" spans="1:11" x14ac:dyDescent="0.2">
      <c r="A183" t="s">
        <v>7009</v>
      </c>
      <c r="B183" t="s">
        <v>7010</v>
      </c>
      <c r="C183" t="s">
        <v>7011</v>
      </c>
      <c r="D183" t="str">
        <f>"2200"</f>
        <v>2200</v>
      </c>
      <c r="E183" t="s">
        <v>269</v>
      </c>
      <c r="F183" t="s">
        <v>7012</v>
      </c>
      <c r="G183" t="str">
        <f>"07.12.2017"</f>
        <v>07.12.2017</v>
      </c>
      <c r="H183" t="s">
        <v>7013</v>
      </c>
      <c r="I183" t="s">
        <v>7014</v>
      </c>
      <c r="J183" t="s">
        <v>7015</v>
      </c>
      <c r="K183" t="s">
        <v>19</v>
      </c>
    </row>
    <row r="184" spans="1:11" x14ac:dyDescent="0.2">
      <c r="A184" t="s">
        <v>1244</v>
      </c>
      <c r="B184" t="s">
        <v>1245</v>
      </c>
      <c r="C184" t="s">
        <v>1246</v>
      </c>
      <c r="D184" t="str">
        <f>"1256"</f>
        <v>1256</v>
      </c>
      <c r="E184" t="s">
        <v>48</v>
      </c>
      <c r="F184" t="s">
        <v>1247</v>
      </c>
      <c r="G184" t="str">
        <f>"01.02.2017"</f>
        <v>01.02.2017</v>
      </c>
      <c r="H184" t="s">
        <v>1248</v>
      </c>
      <c r="I184" t="s">
        <v>1249</v>
      </c>
      <c r="J184" t="s">
        <v>1250</v>
      </c>
      <c r="K184" t="s">
        <v>19</v>
      </c>
    </row>
    <row r="185" spans="1:11" x14ac:dyDescent="0.2">
      <c r="A185" t="s">
        <v>1251</v>
      </c>
      <c r="B185" t="s">
        <v>1252</v>
      </c>
      <c r="C185" t="s">
        <v>1253</v>
      </c>
      <c r="D185" t="str">
        <f>"2830"</f>
        <v>2830</v>
      </c>
      <c r="E185" t="s">
        <v>1254</v>
      </c>
      <c r="F185" t="s">
        <v>1255</v>
      </c>
      <c r="G185" t="str">
        <f>"30.10.2019"</f>
        <v>30.10.2019</v>
      </c>
      <c r="H185" t="s">
        <v>1256</v>
      </c>
      <c r="I185" t="s">
        <v>1257</v>
      </c>
      <c r="J185" t="s">
        <v>1258</v>
      </c>
      <c r="K185" t="s">
        <v>28</v>
      </c>
    </row>
    <row r="186" spans="1:11" x14ac:dyDescent="0.2">
      <c r="A186" t="s">
        <v>1259</v>
      </c>
      <c r="B186" t="s">
        <v>1260</v>
      </c>
      <c r="C186" t="s">
        <v>1261</v>
      </c>
      <c r="D186" t="str">
        <f>"4200"</f>
        <v>4200</v>
      </c>
      <c r="E186" t="s">
        <v>430</v>
      </c>
      <c r="F186" t="s">
        <v>1262</v>
      </c>
      <c r="G186" t="str">
        <f>"09.02.2016"</f>
        <v>09.02.2016</v>
      </c>
      <c r="H186" t="s">
        <v>1263</v>
      </c>
      <c r="I186" t="s">
        <v>1264</v>
      </c>
      <c r="J186" t="s">
        <v>1265</v>
      </c>
      <c r="K186" t="s">
        <v>742</v>
      </c>
    </row>
    <row r="187" spans="1:11" x14ac:dyDescent="0.2">
      <c r="A187" t="s">
        <v>1266</v>
      </c>
      <c r="B187" t="s">
        <v>1267</v>
      </c>
      <c r="C187" t="s">
        <v>1268</v>
      </c>
      <c r="D187" t="str">
        <f>"3050"</f>
        <v>3050</v>
      </c>
      <c r="E187" t="s">
        <v>1269</v>
      </c>
      <c r="F187" t="s">
        <v>1270</v>
      </c>
      <c r="G187" t="str">
        <f>"25.02.2019"</f>
        <v>25.02.2019</v>
      </c>
      <c r="H187" t="s">
        <v>1271</v>
      </c>
      <c r="I187" t="s">
        <v>1272</v>
      </c>
      <c r="J187" t="s">
        <v>1273</v>
      </c>
      <c r="K187" t="s">
        <v>28</v>
      </c>
    </row>
    <row r="188" spans="1:11" x14ac:dyDescent="0.2">
      <c r="A188" t="s">
        <v>1274</v>
      </c>
      <c r="B188" t="s">
        <v>1275</v>
      </c>
      <c r="C188" t="s">
        <v>1276</v>
      </c>
      <c r="D188" t="str">
        <f>"2605"</f>
        <v>2605</v>
      </c>
      <c r="E188" t="s">
        <v>337</v>
      </c>
      <c r="F188" t="s">
        <v>1277</v>
      </c>
      <c r="G188" t="str">
        <f>"09.03.2000"</f>
        <v>09.03.2000</v>
      </c>
      <c r="H188" t="s">
        <v>1278</v>
      </c>
      <c r="I188" t="s">
        <v>1279</v>
      </c>
      <c r="J188" t="s">
        <v>1280</v>
      </c>
      <c r="K188" t="s">
        <v>19</v>
      </c>
    </row>
    <row r="189" spans="1:11" x14ac:dyDescent="0.2">
      <c r="A189" t="s">
        <v>1281</v>
      </c>
      <c r="B189" t="s">
        <v>1282</v>
      </c>
      <c r="C189" t="s">
        <v>1283</v>
      </c>
      <c r="D189" t="str">
        <f>"3520"</f>
        <v>3520</v>
      </c>
      <c r="E189" t="s">
        <v>1284</v>
      </c>
      <c r="F189" t="s">
        <v>1285</v>
      </c>
      <c r="G189" t="str">
        <f>"24.05.2007"</f>
        <v>24.05.2007</v>
      </c>
      <c r="H189" t="s">
        <v>1286</v>
      </c>
      <c r="I189" t="s">
        <v>1287</v>
      </c>
      <c r="J189" t="s">
        <v>1288</v>
      </c>
      <c r="K189" t="s">
        <v>19</v>
      </c>
    </row>
    <row r="190" spans="1:11" x14ac:dyDescent="0.2">
      <c r="A190" t="s">
        <v>1289</v>
      </c>
      <c r="B190" t="s">
        <v>1290</v>
      </c>
      <c r="C190" t="s">
        <v>1291</v>
      </c>
      <c r="D190" t="str">
        <f>"1717"</f>
        <v>1717</v>
      </c>
      <c r="E190" t="s">
        <v>140</v>
      </c>
      <c r="F190" t="s">
        <v>1292</v>
      </c>
      <c r="G190" t="str">
        <f>"01.07.2010"</f>
        <v>01.07.2010</v>
      </c>
      <c r="H190" t="s">
        <v>1293</v>
      </c>
      <c r="I190" t="s">
        <v>1294</v>
      </c>
      <c r="J190" t="s">
        <v>1295</v>
      </c>
      <c r="K190" t="s">
        <v>19</v>
      </c>
    </row>
    <row r="191" spans="1:11" x14ac:dyDescent="0.2">
      <c r="A191" t="s">
        <v>1296</v>
      </c>
      <c r="B191" t="s">
        <v>1297</v>
      </c>
      <c r="C191" t="s">
        <v>1298</v>
      </c>
      <c r="D191" t="str">
        <f>"2620"</f>
        <v>2620</v>
      </c>
      <c r="E191" t="s">
        <v>811</v>
      </c>
      <c r="F191" t="s">
        <v>1299</v>
      </c>
      <c r="G191" t="str">
        <f>"14.03.2012"</f>
        <v>14.03.2012</v>
      </c>
      <c r="H191" t="s">
        <v>1300</v>
      </c>
      <c r="I191" t="s">
        <v>1301</v>
      </c>
      <c r="J191" t="s">
        <v>1302</v>
      </c>
      <c r="K191" t="s">
        <v>28</v>
      </c>
    </row>
    <row r="192" spans="1:11" x14ac:dyDescent="0.2">
      <c r="A192" t="s">
        <v>1303</v>
      </c>
      <c r="B192" t="s">
        <v>1304</v>
      </c>
      <c r="C192" t="s">
        <v>1305</v>
      </c>
      <c r="D192" t="str">
        <f>"1850"</f>
        <v>1850</v>
      </c>
      <c r="E192" t="s">
        <v>422</v>
      </c>
      <c r="F192" t="s">
        <v>1306</v>
      </c>
      <c r="G192" t="str">
        <f>"08.02.2018"</f>
        <v>08.02.2018</v>
      </c>
      <c r="H192" t="s">
        <v>1307</v>
      </c>
      <c r="I192" t="s">
        <v>1308</v>
      </c>
      <c r="J192" t="s">
        <v>1309</v>
      </c>
      <c r="K192" t="s">
        <v>1310</v>
      </c>
    </row>
    <row r="193" spans="1:11" x14ac:dyDescent="0.2">
      <c r="A193" t="s">
        <v>1311</v>
      </c>
      <c r="B193" t="s">
        <v>1312</v>
      </c>
      <c r="C193" t="s">
        <v>1313</v>
      </c>
      <c r="D193" t="str">
        <f>"2920"</f>
        <v>2920</v>
      </c>
      <c r="E193" t="s">
        <v>1156</v>
      </c>
      <c r="F193" t="s">
        <v>1314</v>
      </c>
      <c r="G193" t="str">
        <f>"03.11.2012"</f>
        <v>03.11.2012</v>
      </c>
      <c r="H193" t="s">
        <v>1195</v>
      </c>
      <c r="I193" t="s">
        <v>1315</v>
      </c>
      <c r="J193" t="s">
        <v>1316</v>
      </c>
      <c r="K193" t="s">
        <v>28</v>
      </c>
    </row>
    <row r="194" spans="1:11" x14ac:dyDescent="0.2">
      <c r="A194" t="s">
        <v>1317</v>
      </c>
      <c r="B194" t="s">
        <v>1318</v>
      </c>
      <c r="C194" t="s">
        <v>1319</v>
      </c>
      <c r="D194" t="str">
        <f>"2200"</f>
        <v>2200</v>
      </c>
      <c r="E194" t="s">
        <v>269</v>
      </c>
      <c r="F194" t="s">
        <v>1320</v>
      </c>
      <c r="G194" t="str">
        <f>"08.06.2012"</f>
        <v>08.06.2012</v>
      </c>
      <c r="H194" t="s">
        <v>1321</v>
      </c>
      <c r="I194" t="s">
        <v>1322</v>
      </c>
      <c r="J194" t="s">
        <v>1323</v>
      </c>
      <c r="K194" t="s">
        <v>28</v>
      </c>
    </row>
    <row r="195" spans="1:11" x14ac:dyDescent="0.2">
      <c r="A195" t="s">
        <v>1324</v>
      </c>
      <c r="B195" t="s">
        <v>1325</v>
      </c>
      <c r="C195" t="s">
        <v>1326</v>
      </c>
      <c r="D195" t="str">
        <f>"2100"</f>
        <v>2100</v>
      </c>
      <c r="E195" t="s">
        <v>14</v>
      </c>
      <c r="F195" t="s">
        <v>1327</v>
      </c>
      <c r="G195" t="str">
        <f>"01.07.2016"</f>
        <v>01.07.2016</v>
      </c>
      <c r="H195" t="s">
        <v>1328</v>
      </c>
      <c r="I195" t="s">
        <v>1329</v>
      </c>
      <c r="J195" t="s">
        <v>1330</v>
      </c>
      <c r="K195" t="s">
        <v>28</v>
      </c>
    </row>
    <row r="196" spans="1:11" x14ac:dyDescent="0.2">
      <c r="A196" t="s">
        <v>1331</v>
      </c>
      <c r="B196" t="s">
        <v>1332</v>
      </c>
      <c r="C196" t="s">
        <v>1333</v>
      </c>
      <c r="D196" t="str">
        <f>"2600"</f>
        <v>2600</v>
      </c>
      <c r="E196" t="s">
        <v>546</v>
      </c>
      <c r="F196" t="s">
        <v>1334</v>
      </c>
      <c r="G196" t="str">
        <f>"11.02.2010"</f>
        <v>11.02.2010</v>
      </c>
      <c r="H196" t="s">
        <v>1335</v>
      </c>
      <c r="I196" t="s">
        <v>1336</v>
      </c>
      <c r="J196" t="s">
        <v>1337</v>
      </c>
      <c r="K196" t="s">
        <v>1093</v>
      </c>
    </row>
    <row r="197" spans="1:11" x14ac:dyDescent="0.2">
      <c r="A197" t="s">
        <v>1338</v>
      </c>
      <c r="B197" t="s">
        <v>1339</v>
      </c>
      <c r="C197" t="s">
        <v>1340</v>
      </c>
      <c r="D197" t="str">
        <f>"8700"</f>
        <v>8700</v>
      </c>
      <c r="E197" t="s">
        <v>1341</v>
      </c>
      <c r="F197" t="s">
        <v>1342</v>
      </c>
      <c r="G197" t="str">
        <f>"01.08.2012"</f>
        <v>01.08.2012</v>
      </c>
      <c r="H197" t="s">
        <v>1343</v>
      </c>
      <c r="I197" t="s">
        <v>1344</v>
      </c>
      <c r="J197" t="s">
        <v>1345</v>
      </c>
      <c r="K197" t="s">
        <v>1346</v>
      </c>
    </row>
    <row r="198" spans="1:11" x14ac:dyDescent="0.2">
      <c r="A198" t="s">
        <v>1347</v>
      </c>
      <c r="B198" t="s">
        <v>1348</v>
      </c>
      <c r="C198" t="s">
        <v>1349</v>
      </c>
      <c r="D198" t="str">
        <f>"1058"</f>
        <v>1058</v>
      </c>
      <c r="E198" t="s">
        <v>48</v>
      </c>
      <c r="F198" t="s">
        <v>1350</v>
      </c>
      <c r="G198" t="str">
        <f>"02.11.2017"</f>
        <v>02.11.2017</v>
      </c>
      <c r="H198" t="s">
        <v>1351</v>
      </c>
      <c r="I198" t="s">
        <v>1352</v>
      </c>
      <c r="J198" t="s">
        <v>1353</v>
      </c>
      <c r="K198" t="s">
        <v>1354</v>
      </c>
    </row>
    <row r="199" spans="1:11" x14ac:dyDescent="0.2">
      <c r="A199" t="s">
        <v>1355</v>
      </c>
      <c r="B199" t="s">
        <v>1356</v>
      </c>
      <c r="C199" t="s">
        <v>1357</v>
      </c>
      <c r="D199" t="str">
        <f>"3230"</f>
        <v>3230</v>
      </c>
      <c r="E199" t="s">
        <v>1358</v>
      </c>
      <c r="F199" t="s">
        <v>1359</v>
      </c>
      <c r="G199" t="str">
        <f>"05.04.2016"</f>
        <v>05.04.2016</v>
      </c>
      <c r="H199" t="s">
        <v>1360</v>
      </c>
      <c r="I199" t="s">
        <v>1361</v>
      </c>
      <c r="J199" t="s">
        <v>1362</v>
      </c>
      <c r="K199" t="s">
        <v>28</v>
      </c>
    </row>
    <row r="200" spans="1:11" x14ac:dyDescent="0.2">
      <c r="A200" t="s">
        <v>1363</v>
      </c>
      <c r="B200" t="s">
        <v>1364</v>
      </c>
      <c r="C200" t="s">
        <v>1365</v>
      </c>
      <c r="D200" t="str">
        <f>"2000"</f>
        <v>2000</v>
      </c>
      <c r="E200" t="s">
        <v>148</v>
      </c>
      <c r="F200" t="s">
        <v>1366</v>
      </c>
      <c r="G200" t="str">
        <f>"01.01.2018"</f>
        <v>01.01.2018</v>
      </c>
      <c r="H200" t="s">
        <v>1367</v>
      </c>
      <c r="I200" t="s">
        <v>1368</v>
      </c>
      <c r="J200" t="s">
        <v>1369</v>
      </c>
      <c r="K200" t="s">
        <v>28</v>
      </c>
    </row>
    <row r="201" spans="1:11" x14ac:dyDescent="0.2">
      <c r="A201" t="s">
        <v>1370</v>
      </c>
      <c r="B201" t="s">
        <v>1371</v>
      </c>
      <c r="C201" t="s">
        <v>1372</v>
      </c>
      <c r="D201" t="str">
        <f>"8000"</f>
        <v>8000</v>
      </c>
      <c r="E201" t="s">
        <v>63</v>
      </c>
      <c r="F201" t="s">
        <v>1373</v>
      </c>
      <c r="G201" t="str">
        <f>"11.09.2017"</f>
        <v>11.09.2017</v>
      </c>
      <c r="H201" t="s">
        <v>1374</v>
      </c>
      <c r="I201" t="s">
        <v>1375</v>
      </c>
      <c r="J201" t="s">
        <v>1376</v>
      </c>
      <c r="K201" t="s">
        <v>28</v>
      </c>
    </row>
    <row r="202" spans="1:11" x14ac:dyDescent="0.2">
      <c r="A202" t="s">
        <v>1377</v>
      </c>
      <c r="B202" t="s">
        <v>1378</v>
      </c>
      <c r="C202" t="s">
        <v>1379</v>
      </c>
      <c r="D202" t="str">
        <f>"8355"</f>
        <v>8355</v>
      </c>
      <c r="E202" t="s">
        <v>1380</v>
      </c>
      <c r="F202" t="s">
        <v>1381</v>
      </c>
      <c r="G202" t="str">
        <f>"02.07.2002"</f>
        <v>02.07.2002</v>
      </c>
      <c r="H202" t="s">
        <v>1382</v>
      </c>
      <c r="I202" t="s">
        <v>1383</v>
      </c>
      <c r="J202" t="s">
        <v>1384</v>
      </c>
      <c r="K202" t="s">
        <v>310</v>
      </c>
    </row>
    <row r="203" spans="1:11" x14ac:dyDescent="0.2">
      <c r="A203" t="s">
        <v>1385</v>
      </c>
      <c r="B203" t="s">
        <v>1386</v>
      </c>
      <c r="C203" t="s">
        <v>1387</v>
      </c>
      <c r="D203" t="str">
        <f>"2100"</f>
        <v>2100</v>
      </c>
      <c r="E203" t="s">
        <v>14</v>
      </c>
      <c r="F203" t="s">
        <v>1388</v>
      </c>
      <c r="G203" t="str">
        <f>"11.03.2009"</f>
        <v>11.03.2009</v>
      </c>
      <c r="H203" t="s">
        <v>1389</v>
      </c>
      <c r="I203" t="s">
        <v>1390</v>
      </c>
      <c r="J203" t="s">
        <v>1391</v>
      </c>
      <c r="K203" t="s">
        <v>19</v>
      </c>
    </row>
    <row r="204" spans="1:11" x14ac:dyDescent="0.2">
      <c r="A204" t="s">
        <v>1392</v>
      </c>
      <c r="B204" t="s">
        <v>1393</v>
      </c>
      <c r="C204" t="s">
        <v>1394</v>
      </c>
      <c r="D204" t="str">
        <f>"2300"</f>
        <v>2300</v>
      </c>
      <c r="E204" t="s">
        <v>253</v>
      </c>
      <c r="F204" t="s">
        <v>1395</v>
      </c>
      <c r="G204" t="str">
        <f>"22.10.2002"</f>
        <v>22.10.2002</v>
      </c>
      <c r="H204" t="s">
        <v>1396</v>
      </c>
      <c r="I204" t="s">
        <v>1397</v>
      </c>
      <c r="J204" t="s">
        <v>1398</v>
      </c>
      <c r="K204" t="s">
        <v>19</v>
      </c>
    </row>
    <row r="205" spans="1:11" x14ac:dyDescent="0.2">
      <c r="A205" t="s">
        <v>1399</v>
      </c>
      <c r="B205" t="s">
        <v>1400</v>
      </c>
      <c r="C205" t="s">
        <v>1401</v>
      </c>
      <c r="D205" t="str">
        <f>"2200"</f>
        <v>2200</v>
      </c>
      <c r="E205" t="s">
        <v>269</v>
      </c>
      <c r="F205" t="s">
        <v>1402</v>
      </c>
      <c r="G205" t="str">
        <f>"13.04.2018"</f>
        <v>13.04.2018</v>
      </c>
      <c r="H205" t="s">
        <v>1403</v>
      </c>
      <c r="I205" t="s">
        <v>1404</v>
      </c>
      <c r="J205" t="s">
        <v>1405</v>
      </c>
      <c r="K205" t="s">
        <v>19</v>
      </c>
    </row>
    <row r="206" spans="1:11" x14ac:dyDescent="0.2">
      <c r="A206" t="s">
        <v>1406</v>
      </c>
      <c r="B206" t="s">
        <v>1407</v>
      </c>
      <c r="C206" t="s">
        <v>1408</v>
      </c>
      <c r="D206" t="str">
        <f>"8200"</f>
        <v>8200</v>
      </c>
      <c r="E206" t="s">
        <v>229</v>
      </c>
      <c r="F206" t="s">
        <v>1409</v>
      </c>
      <c r="G206" t="str">
        <f>"08.11.2002"</f>
        <v>08.11.2002</v>
      </c>
      <c r="H206" t="s">
        <v>1410</v>
      </c>
      <c r="I206" t="s">
        <v>1411</v>
      </c>
      <c r="J206" t="s">
        <v>1412</v>
      </c>
      <c r="K206" t="s">
        <v>28</v>
      </c>
    </row>
    <row r="207" spans="1:11" x14ac:dyDescent="0.2">
      <c r="A207" t="s">
        <v>1413</v>
      </c>
      <c r="B207" t="s">
        <v>1414</v>
      </c>
      <c r="C207" t="s">
        <v>1415</v>
      </c>
      <c r="D207" t="str">
        <f>"1606"</f>
        <v>1606</v>
      </c>
      <c r="E207" t="s">
        <v>140</v>
      </c>
      <c r="F207" t="s">
        <v>1416</v>
      </c>
      <c r="G207" t="str">
        <f>"24.06.2008"</f>
        <v>24.06.2008</v>
      </c>
      <c r="H207" t="s">
        <v>1417</v>
      </c>
      <c r="I207" t="s">
        <v>1418</v>
      </c>
      <c r="J207" t="s">
        <v>1419</v>
      </c>
      <c r="K207" t="s">
        <v>1420</v>
      </c>
    </row>
    <row r="208" spans="1:11" x14ac:dyDescent="0.2">
      <c r="A208" t="s">
        <v>1421</v>
      </c>
      <c r="B208" t="s">
        <v>1422</v>
      </c>
      <c r="C208" t="s">
        <v>1423</v>
      </c>
      <c r="D208" t="str">
        <f>"8200"</f>
        <v>8200</v>
      </c>
      <c r="E208" t="s">
        <v>229</v>
      </c>
      <c r="F208" t="s">
        <v>1424</v>
      </c>
      <c r="G208" t="str">
        <f>"29.04.2014"</f>
        <v>29.04.2014</v>
      </c>
      <c r="H208" t="s">
        <v>1425</v>
      </c>
      <c r="I208" t="s">
        <v>1426</v>
      </c>
      <c r="J208" t="s">
        <v>1427</v>
      </c>
      <c r="K208" t="s">
        <v>28</v>
      </c>
    </row>
    <row r="209" spans="1:11" x14ac:dyDescent="0.2">
      <c r="A209" t="s">
        <v>1428</v>
      </c>
      <c r="B209" t="s">
        <v>1429</v>
      </c>
      <c r="C209" t="s">
        <v>1430</v>
      </c>
      <c r="D209" t="str">
        <f>"1256"</f>
        <v>1256</v>
      </c>
      <c r="E209" t="s">
        <v>48</v>
      </c>
      <c r="F209" t="s">
        <v>1431</v>
      </c>
      <c r="G209" t="str">
        <f>"01.04.2009"</f>
        <v>01.04.2009</v>
      </c>
      <c r="H209" t="s">
        <v>1432</v>
      </c>
      <c r="I209" t="s">
        <v>1433</v>
      </c>
      <c r="J209" t="s">
        <v>1434</v>
      </c>
      <c r="K209" t="s">
        <v>28</v>
      </c>
    </row>
    <row r="210" spans="1:11" x14ac:dyDescent="0.2">
      <c r="A210" t="s">
        <v>1435</v>
      </c>
      <c r="B210" t="s">
        <v>1436</v>
      </c>
      <c r="C210" t="s">
        <v>1437</v>
      </c>
      <c r="D210" t="str">
        <f>"8230"</f>
        <v>8230</v>
      </c>
      <c r="E210" t="s">
        <v>538</v>
      </c>
      <c r="F210" t="s">
        <v>1438</v>
      </c>
      <c r="G210" t="str">
        <f>"01.08.2015"</f>
        <v>01.08.2015</v>
      </c>
      <c r="H210" t="s">
        <v>1439</v>
      </c>
      <c r="I210" t="s">
        <v>1440</v>
      </c>
      <c r="J210" t="s">
        <v>1441</v>
      </c>
      <c r="K210" t="s">
        <v>28</v>
      </c>
    </row>
    <row r="211" spans="1:11" x14ac:dyDescent="0.2">
      <c r="A211" t="s">
        <v>1442</v>
      </c>
      <c r="B211" t="s">
        <v>1443</v>
      </c>
      <c r="C211" t="s">
        <v>1444</v>
      </c>
      <c r="D211" t="str">
        <f>"9000"</f>
        <v>9000</v>
      </c>
      <c r="E211" t="s">
        <v>237</v>
      </c>
      <c r="F211" t="s">
        <v>1445</v>
      </c>
      <c r="G211" t="str">
        <f>"02.03.2005"</f>
        <v>02.03.2005</v>
      </c>
      <c r="H211" t="s">
        <v>1446</v>
      </c>
      <c r="I211" t="s">
        <v>1447</v>
      </c>
      <c r="J211" t="s">
        <v>1448</v>
      </c>
      <c r="K211" t="s">
        <v>742</v>
      </c>
    </row>
    <row r="212" spans="1:11" x14ac:dyDescent="0.2">
      <c r="A212" t="s">
        <v>1449</v>
      </c>
      <c r="B212" t="s">
        <v>1450</v>
      </c>
      <c r="C212" t="s">
        <v>1451</v>
      </c>
      <c r="D212" t="str">
        <f>"2400"</f>
        <v>2400</v>
      </c>
      <c r="E212" t="s">
        <v>79</v>
      </c>
      <c r="F212" t="s">
        <v>1452</v>
      </c>
      <c r="G212" t="str">
        <f>"11.06.2008"</f>
        <v>11.06.2008</v>
      </c>
      <c r="H212" t="s">
        <v>1453</v>
      </c>
      <c r="I212" t="s">
        <v>1454</v>
      </c>
      <c r="J212" t="s">
        <v>1455</v>
      </c>
      <c r="K212" t="s">
        <v>1456</v>
      </c>
    </row>
    <row r="213" spans="1:11" x14ac:dyDescent="0.2">
      <c r="A213" t="s">
        <v>1457</v>
      </c>
      <c r="B213" t="s">
        <v>1458</v>
      </c>
      <c r="C213" t="s">
        <v>1459</v>
      </c>
      <c r="D213" t="str">
        <f>"2200"</f>
        <v>2200</v>
      </c>
      <c r="E213" t="s">
        <v>269</v>
      </c>
      <c r="F213" t="s">
        <v>1460</v>
      </c>
      <c r="G213" t="str">
        <f>"05.04.2017"</f>
        <v>05.04.2017</v>
      </c>
      <c r="H213" t="s">
        <v>1461</v>
      </c>
      <c r="I213" t="s">
        <v>1462</v>
      </c>
      <c r="J213" t="s">
        <v>1463</v>
      </c>
      <c r="K213" t="s">
        <v>19</v>
      </c>
    </row>
    <row r="214" spans="1:11" x14ac:dyDescent="0.2">
      <c r="A214" t="s">
        <v>1464</v>
      </c>
      <c r="B214" t="s">
        <v>1465</v>
      </c>
      <c r="C214" t="s">
        <v>1466</v>
      </c>
      <c r="D214" t="str">
        <f>"1200"</f>
        <v>1200</v>
      </c>
      <c r="E214" t="s">
        <v>48</v>
      </c>
      <c r="F214" t="s">
        <v>1467</v>
      </c>
      <c r="G214" t="str">
        <f>"16.03.2018"</f>
        <v>16.03.2018</v>
      </c>
      <c r="H214" t="s">
        <v>1468</v>
      </c>
      <c r="I214" t="s">
        <v>1469</v>
      </c>
      <c r="J214" t="s">
        <v>1470</v>
      </c>
      <c r="K214" t="s">
        <v>1471</v>
      </c>
    </row>
    <row r="215" spans="1:11" x14ac:dyDescent="0.2">
      <c r="A215" t="s">
        <v>1472</v>
      </c>
      <c r="B215" t="s">
        <v>1473</v>
      </c>
      <c r="C215" t="s">
        <v>1474</v>
      </c>
      <c r="D215" t="str">
        <f>"8361"</f>
        <v>8361</v>
      </c>
      <c r="E215" t="s">
        <v>1475</v>
      </c>
      <c r="F215" t="s">
        <v>1476</v>
      </c>
      <c r="G215" t="str">
        <f>"06.07.2017"</f>
        <v>06.07.2017</v>
      </c>
      <c r="H215" t="s">
        <v>1477</v>
      </c>
      <c r="I215" t="s">
        <v>1478</v>
      </c>
      <c r="J215" t="s">
        <v>1479</v>
      </c>
      <c r="K215" t="s">
        <v>28</v>
      </c>
    </row>
    <row r="216" spans="1:11" x14ac:dyDescent="0.2">
      <c r="A216" t="s">
        <v>1480</v>
      </c>
      <c r="B216" t="s">
        <v>1481</v>
      </c>
      <c r="C216" t="s">
        <v>1482</v>
      </c>
      <c r="D216" t="str">
        <f>"2200"</f>
        <v>2200</v>
      </c>
      <c r="E216" t="s">
        <v>269</v>
      </c>
      <c r="F216" t="s">
        <v>1483</v>
      </c>
      <c r="G216" t="str">
        <f>"25.04.2016"</f>
        <v>25.04.2016</v>
      </c>
      <c r="H216" t="s">
        <v>1484</v>
      </c>
      <c r="I216" t="s">
        <v>1485</v>
      </c>
      <c r="J216" t="s">
        <v>1486</v>
      </c>
      <c r="K216" t="s">
        <v>19</v>
      </c>
    </row>
    <row r="217" spans="1:11" x14ac:dyDescent="0.2">
      <c r="A217" t="s">
        <v>1487</v>
      </c>
      <c r="B217" t="s">
        <v>1488</v>
      </c>
      <c r="C217" t="s">
        <v>1489</v>
      </c>
      <c r="D217" t="str">
        <f>"1428"</f>
        <v>1428</v>
      </c>
      <c r="E217" t="s">
        <v>48</v>
      </c>
      <c r="F217" t="s">
        <v>1490</v>
      </c>
      <c r="G217" t="str">
        <f>"23.08.2017"</f>
        <v>23.08.2017</v>
      </c>
      <c r="H217" t="s">
        <v>1491</v>
      </c>
      <c r="I217" t="s">
        <v>1492</v>
      </c>
      <c r="J217" t="s">
        <v>1493</v>
      </c>
      <c r="K217" t="s">
        <v>28</v>
      </c>
    </row>
    <row r="218" spans="1:11" x14ac:dyDescent="0.2">
      <c r="A218" t="s">
        <v>1494</v>
      </c>
      <c r="B218" t="s">
        <v>1495</v>
      </c>
      <c r="C218" t="s">
        <v>1496</v>
      </c>
      <c r="D218" t="str">
        <f>"8680"</f>
        <v>8680</v>
      </c>
      <c r="E218" t="s">
        <v>1497</v>
      </c>
      <c r="F218" t="s">
        <v>1498</v>
      </c>
      <c r="G218" t="str">
        <f>"30.10.2015"</f>
        <v>30.10.2015</v>
      </c>
      <c r="H218" t="s">
        <v>1499</v>
      </c>
      <c r="I218" t="s">
        <v>1500</v>
      </c>
      <c r="J218" t="s">
        <v>1501</v>
      </c>
      <c r="K218" t="s">
        <v>19</v>
      </c>
    </row>
    <row r="219" spans="1:11" x14ac:dyDescent="0.2">
      <c r="A219" t="s">
        <v>1502</v>
      </c>
      <c r="B219" t="s">
        <v>1503</v>
      </c>
      <c r="C219" t="s">
        <v>1504</v>
      </c>
      <c r="D219" t="str">
        <f>"1200"</f>
        <v>1200</v>
      </c>
      <c r="E219" t="s">
        <v>48</v>
      </c>
      <c r="F219" t="s">
        <v>1505</v>
      </c>
      <c r="G219" t="str">
        <f>"05.04.2018"</f>
        <v>05.04.2018</v>
      </c>
      <c r="H219" t="s">
        <v>1506</v>
      </c>
      <c r="I219" t="s">
        <v>1507</v>
      </c>
      <c r="J219" t="s">
        <v>1508</v>
      </c>
      <c r="K219" t="s">
        <v>19</v>
      </c>
    </row>
    <row r="220" spans="1:11" x14ac:dyDescent="0.2">
      <c r="A220" t="s">
        <v>1509</v>
      </c>
      <c r="B220" t="s">
        <v>1510</v>
      </c>
      <c r="C220" t="s">
        <v>1511</v>
      </c>
      <c r="D220" t="str">
        <f>"2100"</f>
        <v>2100</v>
      </c>
      <c r="E220" t="s">
        <v>14</v>
      </c>
      <c r="F220" t="s">
        <v>1512</v>
      </c>
      <c r="G220" t="str">
        <f>"02.12.2020"</f>
        <v>02.12.2020</v>
      </c>
      <c r="H220" t="s">
        <v>1513</v>
      </c>
      <c r="I220" t="s">
        <v>1514</v>
      </c>
      <c r="J220" t="s">
        <v>1515</v>
      </c>
      <c r="K220" t="s">
        <v>28</v>
      </c>
    </row>
    <row r="221" spans="1:11" x14ac:dyDescent="0.2">
      <c r="A221" t="s">
        <v>1516</v>
      </c>
      <c r="B221" t="s">
        <v>1517</v>
      </c>
      <c r="C221" t="s">
        <v>1518</v>
      </c>
      <c r="D221" t="str">
        <f>"2100"</f>
        <v>2100</v>
      </c>
      <c r="E221" t="s">
        <v>14</v>
      </c>
      <c r="F221" t="s">
        <v>1519</v>
      </c>
      <c r="G221" t="str">
        <f>"22.11.2004"</f>
        <v>22.11.2004</v>
      </c>
      <c r="H221" t="s">
        <v>1520</v>
      </c>
      <c r="I221" t="s">
        <v>1521</v>
      </c>
      <c r="J221" t="s">
        <v>1522</v>
      </c>
      <c r="K221" t="s">
        <v>28</v>
      </c>
    </row>
    <row r="222" spans="1:11" x14ac:dyDescent="0.2">
      <c r="A222" t="s">
        <v>1523</v>
      </c>
      <c r="B222" t="s">
        <v>1524</v>
      </c>
      <c r="C222" t="s">
        <v>1525</v>
      </c>
      <c r="D222" t="str">
        <f>"2970"</f>
        <v>2970</v>
      </c>
      <c r="E222" t="s">
        <v>71</v>
      </c>
      <c r="F222" t="s">
        <v>1526</v>
      </c>
      <c r="G222" t="str">
        <f>"28.11.1997"</f>
        <v>28.11.1997</v>
      </c>
      <c r="H222" t="s">
        <v>1527</v>
      </c>
      <c r="I222" t="s">
        <v>1528</v>
      </c>
      <c r="J222" t="s">
        <v>1529</v>
      </c>
      <c r="K222" t="s">
        <v>28</v>
      </c>
    </row>
    <row r="223" spans="1:11" x14ac:dyDescent="0.2">
      <c r="A223" t="s">
        <v>1530</v>
      </c>
      <c r="B223" t="s">
        <v>1531</v>
      </c>
      <c r="C223" t="s">
        <v>1532</v>
      </c>
      <c r="D223" t="str">
        <f>"1403"</f>
        <v>1403</v>
      </c>
      <c r="E223" t="s">
        <v>48</v>
      </c>
      <c r="F223" t="s">
        <v>1533</v>
      </c>
      <c r="G223" t="str">
        <f>"12.12.2013"</f>
        <v>12.12.2013</v>
      </c>
      <c r="H223" t="s">
        <v>1534</v>
      </c>
      <c r="I223" t="s">
        <v>1535</v>
      </c>
      <c r="J223" t="s">
        <v>1536</v>
      </c>
      <c r="K223" t="s">
        <v>1537</v>
      </c>
    </row>
    <row r="224" spans="1:11" x14ac:dyDescent="0.2">
      <c r="A224" t="s">
        <v>1538</v>
      </c>
      <c r="B224" t="s">
        <v>1539</v>
      </c>
      <c r="C224" t="s">
        <v>1540</v>
      </c>
      <c r="D224" t="str">
        <f>"1620"</f>
        <v>1620</v>
      </c>
      <c r="E224" t="s">
        <v>140</v>
      </c>
      <c r="F224" t="s">
        <v>1541</v>
      </c>
      <c r="G224" t="str">
        <f>"07.02.2001"</f>
        <v>07.02.2001</v>
      </c>
      <c r="H224" t="s">
        <v>1542</v>
      </c>
      <c r="I224" t="s">
        <v>1543</v>
      </c>
      <c r="J224" t="s">
        <v>1544</v>
      </c>
      <c r="K224" t="s">
        <v>28</v>
      </c>
    </row>
    <row r="225" spans="1:11" x14ac:dyDescent="0.2">
      <c r="A225" t="s">
        <v>1545</v>
      </c>
      <c r="B225" t="s">
        <v>1546</v>
      </c>
      <c r="C225" t="s">
        <v>1547</v>
      </c>
      <c r="D225" t="str">
        <f>"9200"</f>
        <v>9200</v>
      </c>
      <c r="E225" t="s">
        <v>132</v>
      </c>
      <c r="F225" t="s">
        <v>1548</v>
      </c>
      <c r="G225" t="str">
        <f>"30.05.2000"</f>
        <v>30.05.2000</v>
      </c>
      <c r="H225" t="s">
        <v>1549</v>
      </c>
      <c r="I225" t="s">
        <v>1550</v>
      </c>
      <c r="J225" t="s">
        <v>1551</v>
      </c>
      <c r="K225" t="s">
        <v>1552</v>
      </c>
    </row>
    <row r="226" spans="1:11" x14ac:dyDescent="0.2">
      <c r="A226" t="s">
        <v>1553</v>
      </c>
      <c r="B226" t="s">
        <v>1554</v>
      </c>
      <c r="C226" t="s">
        <v>1555</v>
      </c>
      <c r="D226" t="str">
        <f>"2820"</f>
        <v>2820</v>
      </c>
      <c r="E226" t="s">
        <v>1556</v>
      </c>
      <c r="F226" t="s">
        <v>1557</v>
      </c>
      <c r="G226" t="str">
        <f>"17.11.2008"</f>
        <v>17.11.2008</v>
      </c>
      <c r="H226" t="s">
        <v>1558</v>
      </c>
      <c r="I226" t="s">
        <v>1559</v>
      </c>
      <c r="J226" t="s">
        <v>1560</v>
      </c>
      <c r="K226" t="s">
        <v>170</v>
      </c>
    </row>
    <row r="227" spans="1:11" x14ac:dyDescent="0.2">
      <c r="A227" t="s">
        <v>1561</v>
      </c>
      <c r="B227" t="s">
        <v>1562</v>
      </c>
      <c r="C227" t="s">
        <v>1563</v>
      </c>
      <c r="D227" t="str">
        <f>"2300"</f>
        <v>2300</v>
      </c>
      <c r="E227" t="s">
        <v>253</v>
      </c>
      <c r="F227" t="s">
        <v>1564</v>
      </c>
      <c r="G227" t="str">
        <f>"15.03.2011"</f>
        <v>15.03.2011</v>
      </c>
      <c r="H227" t="s">
        <v>1565</v>
      </c>
      <c r="I227" t="s">
        <v>1566</v>
      </c>
      <c r="J227" t="s">
        <v>1567</v>
      </c>
      <c r="K227" t="s">
        <v>1568</v>
      </c>
    </row>
    <row r="228" spans="1:11" x14ac:dyDescent="0.2">
      <c r="A228" t="s">
        <v>1569</v>
      </c>
      <c r="B228" t="s">
        <v>1570</v>
      </c>
      <c r="C228" t="s">
        <v>1571</v>
      </c>
      <c r="D228" t="str">
        <f>"1157"</f>
        <v>1157</v>
      </c>
      <c r="E228" t="s">
        <v>48</v>
      </c>
      <c r="F228" t="s">
        <v>1572</v>
      </c>
      <c r="G228" t="str">
        <f>"20.06.2018"</f>
        <v>20.06.2018</v>
      </c>
      <c r="H228" t="s">
        <v>1573</v>
      </c>
      <c r="I228" t="s">
        <v>1574</v>
      </c>
      <c r="J228" t="s">
        <v>1575</v>
      </c>
      <c r="K228" t="s">
        <v>28</v>
      </c>
    </row>
    <row r="229" spans="1:11" x14ac:dyDescent="0.2">
      <c r="A229" t="s">
        <v>1576</v>
      </c>
      <c r="B229" t="s">
        <v>1577</v>
      </c>
      <c r="C229" t="s">
        <v>1578</v>
      </c>
      <c r="D229" t="str">
        <f>"6700"</f>
        <v>6700</v>
      </c>
      <c r="E229" t="s">
        <v>1579</v>
      </c>
      <c r="F229" t="s">
        <v>1580</v>
      </c>
      <c r="G229" t="str">
        <f>"12.12.2013"</f>
        <v>12.12.2013</v>
      </c>
      <c r="H229" t="s">
        <v>1581</v>
      </c>
      <c r="I229" t="s">
        <v>1582</v>
      </c>
      <c r="J229" t="s">
        <v>1583</v>
      </c>
      <c r="K229" t="s">
        <v>28</v>
      </c>
    </row>
    <row r="230" spans="1:11" x14ac:dyDescent="0.2">
      <c r="A230" t="s">
        <v>1584</v>
      </c>
      <c r="B230" t="s">
        <v>1585</v>
      </c>
      <c r="C230" t="s">
        <v>1586</v>
      </c>
      <c r="D230" t="str">
        <f>"9000"</f>
        <v>9000</v>
      </c>
      <c r="E230" t="s">
        <v>237</v>
      </c>
      <c r="F230" t="s">
        <v>1587</v>
      </c>
      <c r="G230" t="str">
        <f>"01.05.2017"</f>
        <v>01.05.2017</v>
      </c>
      <c r="H230" t="s">
        <v>1588</v>
      </c>
      <c r="I230" t="s">
        <v>1589</v>
      </c>
      <c r="J230" t="s">
        <v>1590</v>
      </c>
      <c r="K230" t="s">
        <v>19</v>
      </c>
    </row>
    <row r="231" spans="1:11" x14ac:dyDescent="0.2">
      <c r="A231" t="s">
        <v>1591</v>
      </c>
      <c r="B231" t="s">
        <v>1592</v>
      </c>
      <c r="C231" t="s">
        <v>1593</v>
      </c>
      <c r="D231" t="str">
        <f>"9000"</f>
        <v>9000</v>
      </c>
      <c r="E231" t="s">
        <v>237</v>
      </c>
      <c r="F231" t="s">
        <v>1594</v>
      </c>
      <c r="G231" t="str">
        <f>"21.12.2016"</f>
        <v>21.12.2016</v>
      </c>
      <c r="H231" t="s">
        <v>1595</v>
      </c>
      <c r="I231" t="s">
        <v>1596</v>
      </c>
      <c r="J231" t="s">
        <v>1597</v>
      </c>
      <c r="K231" t="s">
        <v>28</v>
      </c>
    </row>
    <row r="232" spans="1:11" x14ac:dyDescent="0.2">
      <c r="A232" t="s">
        <v>1598</v>
      </c>
      <c r="B232" t="s">
        <v>1599</v>
      </c>
      <c r="C232" t="s">
        <v>1600</v>
      </c>
      <c r="D232" t="str">
        <f>"3400"</f>
        <v>3400</v>
      </c>
      <c r="E232" t="s">
        <v>183</v>
      </c>
      <c r="F232" t="s">
        <v>1601</v>
      </c>
      <c r="G232" t="str">
        <f>"28.06.2017"</f>
        <v>28.06.2017</v>
      </c>
      <c r="H232" t="s">
        <v>1602</v>
      </c>
      <c r="I232" t="s">
        <v>1603</v>
      </c>
      <c r="J232" t="s">
        <v>1604</v>
      </c>
      <c r="K232" t="s">
        <v>28</v>
      </c>
    </row>
    <row r="233" spans="1:11" x14ac:dyDescent="0.2">
      <c r="A233" t="s">
        <v>1605</v>
      </c>
      <c r="B233" t="s">
        <v>1606</v>
      </c>
      <c r="C233" t="s">
        <v>1607</v>
      </c>
      <c r="D233" t="str">
        <f>"1114"</f>
        <v>1114</v>
      </c>
      <c r="E233" t="s">
        <v>48</v>
      </c>
      <c r="F233" t="s">
        <v>1608</v>
      </c>
      <c r="G233" t="str">
        <f>"13.01.2017"</f>
        <v>13.01.2017</v>
      </c>
      <c r="H233" t="s">
        <v>1609</v>
      </c>
      <c r="I233" t="s">
        <v>1610</v>
      </c>
      <c r="J233" t="s">
        <v>1611</v>
      </c>
      <c r="K233" t="s">
        <v>28</v>
      </c>
    </row>
    <row r="234" spans="1:11" x14ac:dyDescent="0.2">
      <c r="A234" t="s">
        <v>1612</v>
      </c>
      <c r="B234" t="s">
        <v>1613</v>
      </c>
      <c r="C234" t="s">
        <v>1614</v>
      </c>
      <c r="D234" t="str">
        <f>"1456"</f>
        <v>1456</v>
      </c>
      <c r="E234" t="s">
        <v>48</v>
      </c>
      <c r="F234" t="s">
        <v>1615</v>
      </c>
      <c r="G234" t="str">
        <f>"01.07.2015"</f>
        <v>01.07.2015</v>
      </c>
      <c r="H234" t="s">
        <v>1616</v>
      </c>
      <c r="I234" t="s">
        <v>1617</v>
      </c>
      <c r="J234" t="s">
        <v>1618</v>
      </c>
      <c r="K234" t="s">
        <v>19</v>
      </c>
    </row>
    <row r="235" spans="1:11" x14ac:dyDescent="0.2">
      <c r="A235" t="s">
        <v>1619</v>
      </c>
      <c r="B235" t="s">
        <v>1620</v>
      </c>
      <c r="C235" t="s">
        <v>1621</v>
      </c>
      <c r="D235" t="str">
        <f>"3310"</f>
        <v>3310</v>
      </c>
      <c r="E235" t="s">
        <v>1622</v>
      </c>
      <c r="F235" t="s">
        <v>1623</v>
      </c>
      <c r="G235" t="str">
        <f>"08.03.2017"</f>
        <v>08.03.2017</v>
      </c>
      <c r="H235" t="s">
        <v>1624</v>
      </c>
      <c r="I235" t="s">
        <v>1625</v>
      </c>
      <c r="J235" t="s">
        <v>1626</v>
      </c>
      <c r="K235" t="s">
        <v>28</v>
      </c>
    </row>
    <row r="236" spans="1:11" x14ac:dyDescent="0.2">
      <c r="A236" t="s">
        <v>1627</v>
      </c>
      <c r="B236" t="s">
        <v>1628</v>
      </c>
      <c r="C236" t="s">
        <v>1629</v>
      </c>
      <c r="D236" t="str">
        <f>"6715"</f>
        <v>6715</v>
      </c>
      <c r="E236" t="s">
        <v>1630</v>
      </c>
      <c r="F236" t="s">
        <v>1631</v>
      </c>
      <c r="G236" t="str">
        <f>"28.02.2018"</f>
        <v>28.02.2018</v>
      </c>
      <c r="H236" t="s">
        <v>57</v>
      </c>
      <c r="I236" t="s">
        <v>1632</v>
      </c>
      <c r="J236" t="s">
        <v>1633</v>
      </c>
      <c r="K236" t="s">
        <v>179</v>
      </c>
    </row>
    <row r="237" spans="1:11" x14ac:dyDescent="0.2">
      <c r="A237" t="s">
        <v>1634</v>
      </c>
      <c r="B237" t="s">
        <v>1635</v>
      </c>
      <c r="C237" t="s">
        <v>1636</v>
      </c>
      <c r="D237" t="str">
        <f>"2300"</f>
        <v>2300</v>
      </c>
      <c r="E237" t="s">
        <v>253</v>
      </c>
      <c r="F237" t="s">
        <v>1637</v>
      </c>
      <c r="G237" t="str">
        <f>"28.04.2017"</f>
        <v>28.04.2017</v>
      </c>
      <c r="H237" t="s">
        <v>1638</v>
      </c>
      <c r="I237" t="s">
        <v>1639</v>
      </c>
      <c r="J237" t="s">
        <v>1640</v>
      </c>
      <c r="K237" t="s">
        <v>28</v>
      </c>
    </row>
    <row r="238" spans="1:11" x14ac:dyDescent="0.2">
      <c r="A238" t="s">
        <v>1641</v>
      </c>
      <c r="B238" t="s">
        <v>1642</v>
      </c>
      <c r="C238" t="s">
        <v>1643</v>
      </c>
      <c r="D238" t="str">
        <f>"1150"</f>
        <v>1150</v>
      </c>
      <c r="E238" t="s">
        <v>48</v>
      </c>
      <c r="F238" t="s">
        <v>1644</v>
      </c>
      <c r="G238" t="str">
        <f>"14.03.2017"</f>
        <v>14.03.2017</v>
      </c>
      <c r="H238" t="s">
        <v>1645</v>
      </c>
      <c r="I238" t="s">
        <v>1646</v>
      </c>
      <c r="J238" t="s">
        <v>1647</v>
      </c>
      <c r="K238" t="s">
        <v>19</v>
      </c>
    </row>
    <row r="239" spans="1:11" x14ac:dyDescent="0.2">
      <c r="A239" t="s">
        <v>1648</v>
      </c>
      <c r="B239" t="s">
        <v>1649</v>
      </c>
      <c r="C239" t="s">
        <v>1650</v>
      </c>
      <c r="D239" t="str">
        <f>"7100"</f>
        <v>7100</v>
      </c>
      <c r="E239" t="s">
        <v>1232</v>
      </c>
      <c r="F239" t="s">
        <v>1651</v>
      </c>
      <c r="G239" t="str">
        <f>"28.04.2017"</f>
        <v>28.04.2017</v>
      </c>
      <c r="H239" t="s">
        <v>1652</v>
      </c>
      <c r="I239" t="s">
        <v>1653</v>
      </c>
      <c r="J239" t="s">
        <v>1654</v>
      </c>
      <c r="K239" t="s">
        <v>28</v>
      </c>
    </row>
    <row r="240" spans="1:11" x14ac:dyDescent="0.2">
      <c r="A240" t="s">
        <v>1655</v>
      </c>
      <c r="B240" t="s">
        <v>1656</v>
      </c>
      <c r="C240" t="s">
        <v>1657</v>
      </c>
      <c r="D240" t="str">
        <f>"8000"</f>
        <v>8000</v>
      </c>
      <c r="E240" t="s">
        <v>63</v>
      </c>
      <c r="F240" t="s">
        <v>1658</v>
      </c>
      <c r="G240" t="str">
        <f>"01.04.2017"</f>
        <v>01.04.2017</v>
      </c>
      <c r="H240" t="s">
        <v>1659</v>
      </c>
      <c r="I240" t="s">
        <v>1660</v>
      </c>
      <c r="J240" t="s">
        <v>1661</v>
      </c>
      <c r="K240" t="s">
        <v>28</v>
      </c>
    </row>
    <row r="241" spans="1:11" x14ac:dyDescent="0.2">
      <c r="A241" t="s">
        <v>1662</v>
      </c>
      <c r="B241" t="s">
        <v>1663</v>
      </c>
      <c r="C241" t="s">
        <v>1664</v>
      </c>
      <c r="D241" t="str">
        <f>"2100"</f>
        <v>2100</v>
      </c>
      <c r="E241" t="s">
        <v>14</v>
      </c>
      <c r="F241" t="s">
        <v>1665</v>
      </c>
      <c r="G241" t="str">
        <f>"01.02.2017"</f>
        <v>01.02.2017</v>
      </c>
      <c r="H241" t="s">
        <v>1666</v>
      </c>
      <c r="I241" t="s">
        <v>1667</v>
      </c>
      <c r="J241" t="s">
        <v>1668</v>
      </c>
      <c r="K241" t="s">
        <v>28</v>
      </c>
    </row>
    <row r="242" spans="1:11" x14ac:dyDescent="0.2">
      <c r="A242" t="s">
        <v>1669</v>
      </c>
      <c r="B242" t="s">
        <v>1670</v>
      </c>
      <c r="C242" t="s">
        <v>1671</v>
      </c>
      <c r="D242" t="str">
        <f>"4261"</f>
        <v>4261</v>
      </c>
      <c r="E242" t="s">
        <v>1672</v>
      </c>
      <c r="F242" t="s">
        <v>1673</v>
      </c>
      <c r="G242" t="str">
        <f>"20.08.2002"</f>
        <v>20.08.2002</v>
      </c>
      <c r="H242" t="s">
        <v>1674</v>
      </c>
      <c r="I242" t="s">
        <v>1675</v>
      </c>
      <c r="J242" t="s">
        <v>1676</v>
      </c>
      <c r="K242" t="s">
        <v>28</v>
      </c>
    </row>
    <row r="243" spans="1:11" x14ac:dyDescent="0.2">
      <c r="A243" t="s">
        <v>1677</v>
      </c>
      <c r="B243" t="s">
        <v>1678</v>
      </c>
      <c r="C243" t="s">
        <v>1679</v>
      </c>
      <c r="D243" t="str">
        <f>"8600"</f>
        <v>8600</v>
      </c>
      <c r="E243" t="s">
        <v>1680</v>
      </c>
      <c r="F243" t="s">
        <v>1681</v>
      </c>
      <c r="G243" t="str">
        <f>"01.07.2019"</f>
        <v>01.07.2019</v>
      </c>
      <c r="H243" t="s">
        <v>73</v>
      </c>
      <c r="I243" t="s">
        <v>1682</v>
      </c>
      <c r="J243" t="s">
        <v>1683</v>
      </c>
      <c r="K243" t="s">
        <v>28</v>
      </c>
    </row>
    <row r="244" spans="1:11" x14ac:dyDescent="0.2">
      <c r="A244" t="s">
        <v>1684</v>
      </c>
      <c r="B244" t="s">
        <v>1685</v>
      </c>
      <c r="C244" t="s">
        <v>1686</v>
      </c>
      <c r="D244" t="str">
        <f>"8270"</f>
        <v>8270</v>
      </c>
      <c r="E244" t="s">
        <v>1687</v>
      </c>
      <c r="F244" t="s">
        <v>1688</v>
      </c>
      <c r="G244" t="str">
        <f>"25.01.2017"</f>
        <v>25.01.2017</v>
      </c>
      <c r="H244" t="s">
        <v>1689</v>
      </c>
      <c r="I244" t="s">
        <v>1690</v>
      </c>
      <c r="J244" t="s">
        <v>1691</v>
      </c>
      <c r="K244" t="s">
        <v>28</v>
      </c>
    </row>
    <row r="245" spans="1:11" x14ac:dyDescent="0.2">
      <c r="A245" t="s">
        <v>1692</v>
      </c>
      <c r="B245" t="s">
        <v>1693</v>
      </c>
      <c r="C245" t="s">
        <v>1694</v>
      </c>
      <c r="D245" t="str">
        <f>"8000"</f>
        <v>8000</v>
      </c>
      <c r="E245" t="s">
        <v>63</v>
      </c>
      <c r="F245" t="s">
        <v>1695</v>
      </c>
      <c r="G245" t="str">
        <f>"29.08.2014"</f>
        <v>29.08.2014</v>
      </c>
      <c r="H245" t="s">
        <v>1696</v>
      </c>
      <c r="I245" t="s">
        <v>1697</v>
      </c>
      <c r="J245" t="s">
        <v>1698</v>
      </c>
      <c r="K245" t="s">
        <v>28</v>
      </c>
    </row>
    <row r="246" spans="1:11" x14ac:dyDescent="0.2">
      <c r="A246" t="s">
        <v>1699</v>
      </c>
      <c r="B246" t="s">
        <v>1700</v>
      </c>
      <c r="C246" t="s">
        <v>1701</v>
      </c>
      <c r="D246" t="str">
        <f>"2100"</f>
        <v>2100</v>
      </c>
      <c r="E246" t="s">
        <v>14</v>
      </c>
      <c r="F246" t="s">
        <v>1702</v>
      </c>
      <c r="G246" t="str">
        <f>"10.02.2000"</f>
        <v>10.02.2000</v>
      </c>
      <c r="H246" t="s">
        <v>1703</v>
      </c>
      <c r="I246" t="s">
        <v>1704</v>
      </c>
      <c r="J246" t="s">
        <v>1705</v>
      </c>
      <c r="K246" t="s">
        <v>1706</v>
      </c>
    </row>
    <row r="247" spans="1:11" x14ac:dyDescent="0.2">
      <c r="A247" t="s">
        <v>1707</v>
      </c>
      <c r="B247" t="s">
        <v>1708</v>
      </c>
      <c r="C247" t="s">
        <v>1709</v>
      </c>
      <c r="D247" t="str">
        <f>"1550"</f>
        <v>1550</v>
      </c>
      <c r="E247" t="s">
        <v>140</v>
      </c>
      <c r="F247" t="s">
        <v>1710</v>
      </c>
      <c r="G247" t="str">
        <f>"19.06.2000"</f>
        <v>19.06.2000</v>
      </c>
      <c r="H247" t="s">
        <v>1711</v>
      </c>
      <c r="I247" t="s">
        <v>1712</v>
      </c>
      <c r="J247" t="s">
        <v>1713</v>
      </c>
      <c r="K247" t="s">
        <v>1714</v>
      </c>
    </row>
    <row r="248" spans="1:11" x14ac:dyDescent="0.2">
      <c r="A248" t="s">
        <v>1715</v>
      </c>
      <c r="B248" t="s">
        <v>1716</v>
      </c>
      <c r="C248" t="s">
        <v>1717</v>
      </c>
      <c r="D248" t="str">
        <f>"2605"</f>
        <v>2605</v>
      </c>
      <c r="E248" t="s">
        <v>337</v>
      </c>
      <c r="F248" t="s">
        <v>1718</v>
      </c>
      <c r="G248" t="str">
        <f>"04.05.2018"</f>
        <v>04.05.2018</v>
      </c>
      <c r="H248" t="s">
        <v>1719</v>
      </c>
      <c r="I248" t="s">
        <v>1720</v>
      </c>
      <c r="J248" t="s">
        <v>1721</v>
      </c>
      <c r="K248" t="s">
        <v>28</v>
      </c>
    </row>
    <row r="249" spans="1:11" x14ac:dyDescent="0.2">
      <c r="A249" t="s">
        <v>1722</v>
      </c>
      <c r="B249" t="s">
        <v>1723</v>
      </c>
      <c r="C249" t="s">
        <v>1724</v>
      </c>
      <c r="D249" t="str">
        <f>"1411"</f>
        <v>1411</v>
      </c>
      <c r="E249" t="s">
        <v>48</v>
      </c>
      <c r="F249" t="s">
        <v>1725</v>
      </c>
      <c r="G249" t="str">
        <f>"01.04.2016"</f>
        <v>01.04.2016</v>
      </c>
      <c r="H249" t="s">
        <v>1726</v>
      </c>
      <c r="I249" t="s">
        <v>1727</v>
      </c>
      <c r="J249" t="s">
        <v>1728</v>
      </c>
      <c r="K249" t="s">
        <v>28</v>
      </c>
    </row>
    <row r="250" spans="1:11" x14ac:dyDescent="0.2">
      <c r="A250" t="s">
        <v>1729</v>
      </c>
      <c r="B250" t="s">
        <v>1730</v>
      </c>
      <c r="C250" t="s">
        <v>1731</v>
      </c>
      <c r="D250" t="str">
        <f>"8600"</f>
        <v>8600</v>
      </c>
      <c r="E250" t="s">
        <v>1680</v>
      </c>
      <c r="F250" t="s">
        <v>1732</v>
      </c>
      <c r="G250" t="str">
        <f>"24.02.2014"</f>
        <v>24.02.2014</v>
      </c>
      <c r="H250" t="s">
        <v>1733</v>
      </c>
      <c r="I250" t="s">
        <v>1734</v>
      </c>
      <c r="J250" t="s">
        <v>1735</v>
      </c>
      <c r="K250" t="s">
        <v>1093</v>
      </c>
    </row>
    <row r="251" spans="1:11" x14ac:dyDescent="0.2">
      <c r="A251" t="s">
        <v>1736</v>
      </c>
      <c r="B251" t="s">
        <v>1737</v>
      </c>
      <c r="C251" t="s">
        <v>1738</v>
      </c>
      <c r="D251" t="str">
        <f>"6000"</f>
        <v>6000</v>
      </c>
      <c r="E251" t="s">
        <v>174</v>
      </c>
      <c r="F251" t="s">
        <v>1739</v>
      </c>
      <c r="G251" t="str">
        <f>"18.09.2018"</f>
        <v>18.09.2018</v>
      </c>
      <c r="H251" t="s">
        <v>1740</v>
      </c>
      <c r="I251" t="s">
        <v>1741</v>
      </c>
      <c r="J251" t="s">
        <v>1742</v>
      </c>
      <c r="K251" t="s">
        <v>1743</v>
      </c>
    </row>
    <row r="252" spans="1:11" x14ac:dyDescent="0.2">
      <c r="A252" t="s">
        <v>1744</v>
      </c>
      <c r="B252" t="s">
        <v>1745</v>
      </c>
      <c r="C252" t="s">
        <v>1746</v>
      </c>
      <c r="D252" t="str">
        <f>"1620"</f>
        <v>1620</v>
      </c>
      <c r="E252" t="s">
        <v>140</v>
      </c>
      <c r="F252" t="s">
        <v>1747</v>
      </c>
      <c r="G252" t="str">
        <f>"16.04.2018"</f>
        <v>16.04.2018</v>
      </c>
      <c r="H252" t="s">
        <v>1748</v>
      </c>
      <c r="I252" t="s">
        <v>1749</v>
      </c>
      <c r="J252" t="s">
        <v>1750</v>
      </c>
      <c r="K252" t="s">
        <v>19</v>
      </c>
    </row>
    <row r="253" spans="1:11" x14ac:dyDescent="0.2">
      <c r="A253" t="s">
        <v>1751</v>
      </c>
      <c r="B253" t="s">
        <v>1752</v>
      </c>
      <c r="C253" t="s">
        <v>1753</v>
      </c>
      <c r="D253" t="str">
        <f>"2450"</f>
        <v>2450</v>
      </c>
      <c r="E253" t="s">
        <v>221</v>
      </c>
      <c r="F253" t="s">
        <v>1754</v>
      </c>
      <c r="G253" t="str">
        <f>"28.09.2017"</f>
        <v>28.09.2017</v>
      </c>
      <c r="H253" t="s">
        <v>1755</v>
      </c>
      <c r="I253" t="s">
        <v>1756</v>
      </c>
      <c r="J253" t="s">
        <v>1757</v>
      </c>
      <c r="K253" t="s">
        <v>1758</v>
      </c>
    </row>
    <row r="254" spans="1:11" x14ac:dyDescent="0.2">
      <c r="A254" t="s">
        <v>1759</v>
      </c>
      <c r="B254" t="s">
        <v>1760</v>
      </c>
      <c r="C254" t="s">
        <v>1761</v>
      </c>
      <c r="D254" t="str">
        <f>"8543"</f>
        <v>8543</v>
      </c>
      <c r="E254" t="s">
        <v>1762</v>
      </c>
      <c r="F254" t="s">
        <v>1763</v>
      </c>
      <c r="G254" t="str">
        <f>"02.04.2018"</f>
        <v>02.04.2018</v>
      </c>
      <c r="H254" t="s">
        <v>1764</v>
      </c>
      <c r="I254" t="s">
        <v>1765</v>
      </c>
      <c r="J254" t="s">
        <v>1766</v>
      </c>
      <c r="K254" t="s">
        <v>1767</v>
      </c>
    </row>
    <row r="255" spans="1:11" x14ac:dyDescent="0.2">
      <c r="A255" t="s">
        <v>1768</v>
      </c>
      <c r="B255" t="s">
        <v>1769</v>
      </c>
      <c r="C255" t="s">
        <v>1770</v>
      </c>
      <c r="D255" t="str">
        <f>"2920"</f>
        <v>2920</v>
      </c>
      <c r="E255" t="s">
        <v>1156</v>
      </c>
      <c r="F255" t="s">
        <v>1771</v>
      </c>
      <c r="G255" t="str">
        <f>"01.05.2014"</f>
        <v>01.05.2014</v>
      </c>
      <c r="H255" t="s">
        <v>1772</v>
      </c>
      <c r="I255" t="s">
        <v>1773</v>
      </c>
      <c r="J255" t="s">
        <v>1774</v>
      </c>
      <c r="K255" t="s">
        <v>28</v>
      </c>
    </row>
    <row r="256" spans="1:11" x14ac:dyDescent="0.2">
      <c r="A256" t="s">
        <v>1775</v>
      </c>
      <c r="B256" t="s">
        <v>1776</v>
      </c>
      <c r="C256" t="s">
        <v>1777</v>
      </c>
      <c r="D256" t="str">
        <f>"2750"</f>
        <v>2750</v>
      </c>
      <c r="E256" t="s">
        <v>1039</v>
      </c>
      <c r="F256" t="s">
        <v>1778</v>
      </c>
      <c r="G256" t="str">
        <f>"30.11.2011"</f>
        <v>30.11.2011</v>
      </c>
      <c r="H256" t="s">
        <v>1779</v>
      </c>
      <c r="I256" t="s">
        <v>1780</v>
      </c>
      <c r="J256" t="s">
        <v>1781</v>
      </c>
      <c r="K256" t="s">
        <v>1782</v>
      </c>
    </row>
    <row r="257" spans="1:11" x14ac:dyDescent="0.2">
      <c r="A257" t="s">
        <v>1783</v>
      </c>
      <c r="B257" t="s">
        <v>1784</v>
      </c>
      <c r="C257" t="s">
        <v>1785</v>
      </c>
      <c r="D257" t="str">
        <f>"1620"</f>
        <v>1620</v>
      </c>
      <c r="E257" t="s">
        <v>140</v>
      </c>
      <c r="F257" t="s">
        <v>1786</v>
      </c>
      <c r="G257" t="str">
        <f>"21.10.2016"</f>
        <v>21.10.2016</v>
      </c>
      <c r="H257" t="s">
        <v>1787</v>
      </c>
      <c r="I257" t="s">
        <v>1788</v>
      </c>
      <c r="J257" t="s">
        <v>1789</v>
      </c>
      <c r="K257" t="s">
        <v>1790</v>
      </c>
    </row>
    <row r="258" spans="1:11" x14ac:dyDescent="0.2">
      <c r="A258" t="s">
        <v>1791</v>
      </c>
      <c r="B258" t="s">
        <v>1792</v>
      </c>
      <c r="C258" t="s">
        <v>1793</v>
      </c>
      <c r="D258" t="str">
        <f>"1205"</f>
        <v>1205</v>
      </c>
      <c r="E258" t="s">
        <v>48</v>
      </c>
      <c r="F258" t="s">
        <v>1794</v>
      </c>
      <c r="G258" t="str">
        <f>"16.08.2007"</f>
        <v>16.08.2007</v>
      </c>
      <c r="H258" t="s">
        <v>1795</v>
      </c>
      <c r="I258" t="s">
        <v>1796</v>
      </c>
      <c r="J258" t="s">
        <v>1797</v>
      </c>
      <c r="K258" t="s">
        <v>1798</v>
      </c>
    </row>
    <row r="259" spans="1:11" x14ac:dyDescent="0.2">
      <c r="A259" t="s">
        <v>1799</v>
      </c>
      <c r="B259" t="s">
        <v>1800</v>
      </c>
      <c r="C259" t="s">
        <v>1801</v>
      </c>
      <c r="D259" t="str">
        <f>"2970"</f>
        <v>2970</v>
      </c>
      <c r="E259" t="s">
        <v>71</v>
      </c>
      <c r="F259" t="s">
        <v>1802</v>
      </c>
      <c r="G259" t="str">
        <f>"12.11.2015"</f>
        <v>12.11.2015</v>
      </c>
      <c r="H259" t="s">
        <v>1803</v>
      </c>
      <c r="I259" t="s">
        <v>1804</v>
      </c>
      <c r="J259" t="s">
        <v>1805</v>
      </c>
      <c r="K259" t="s">
        <v>28</v>
      </c>
    </row>
    <row r="260" spans="1:11" x14ac:dyDescent="0.2">
      <c r="A260" t="s">
        <v>1806</v>
      </c>
      <c r="B260" t="s">
        <v>1807</v>
      </c>
      <c r="C260" t="s">
        <v>1808</v>
      </c>
      <c r="D260" t="str">
        <f>"7700"</f>
        <v>7700</v>
      </c>
      <c r="E260" t="s">
        <v>1809</v>
      </c>
      <c r="F260" t="s">
        <v>1810</v>
      </c>
      <c r="G260" t="str">
        <f>"24.06.2019"</f>
        <v>24.06.2019</v>
      </c>
      <c r="H260" t="s">
        <v>1811</v>
      </c>
      <c r="I260" t="s">
        <v>1812</v>
      </c>
      <c r="J260" t="s">
        <v>1813</v>
      </c>
      <c r="K260" t="s">
        <v>179</v>
      </c>
    </row>
    <row r="261" spans="1:11" x14ac:dyDescent="0.2">
      <c r="A261" t="s">
        <v>1814</v>
      </c>
      <c r="B261" t="s">
        <v>1815</v>
      </c>
      <c r="C261" t="s">
        <v>1816</v>
      </c>
      <c r="D261" t="str">
        <f>"1264"</f>
        <v>1264</v>
      </c>
      <c r="E261" t="s">
        <v>48</v>
      </c>
      <c r="F261" t="s">
        <v>1817</v>
      </c>
      <c r="G261" t="str">
        <f>"13.02.2021"</f>
        <v>13.02.2021</v>
      </c>
      <c r="H261" t="s">
        <v>1818</v>
      </c>
      <c r="I261" t="s">
        <v>1819</v>
      </c>
      <c r="J261" t="s">
        <v>1820</v>
      </c>
      <c r="K261" t="s">
        <v>28</v>
      </c>
    </row>
    <row r="262" spans="1:11" x14ac:dyDescent="0.2">
      <c r="A262" t="s">
        <v>1821</v>
      </c>
      <c r="B262" t="s">
        <v>1822</v>
      </c>
      <c r="C262" t="s">
        <v>1823</v>
      </c>
      <c r="D262" t="str">
        <f>"2900"</f>
        <v>2900</v>
      </c>
      <c r="E262" t="s">
        <v>689</v>
      </c>
      <c r="F262" t="s">
        <v>1824</v>
      </c>
      <c r="G262" t="str">
        <f>"15.03.2015"</f>
        <v>15.03.2015</v>
      </c>
      <c r="H262" t="s">
        <v>1825</v>
      </c>
      <c r="I262" t="s">
        <v>1826</v>
      </c>
      <c r="J262" t="s">
        <v>1827</v>
      </c>
      <c r="K262" t="s">
        <v>28</v>
      </c>
    </row>
    <row r="263" spans="1:11" x14ac:dyDescent="0.2">
      <c r="A263" t="s">
        <v>1828</v>
      </c>
      <c r="B263" t="s">
        <v>1829</v>
      </c>
      <c r="C263" t="s">
        <v>1830</v>
      </c>
      <c r="D263" t="str">
        <f>"2100"</f>
        <v>2100</v>
      </c>
      <c r="E263" t="s">
        <v>14</v>
      </c>
      <c r="F263" t="s">
        <v>1831</v>
      </c>
      <c r="G263" t="str">
        <f>"27.03.2015"</f>
        <v>27.03.2015</v>
      </c>
      <c r="H263" t="s">
        <v>1832</v>
      </c>
      <c r="I263" t="s">
        <v>1833</v>
      </c>
      <c r="J263" t="s">
        <v>1834</v>
      </c>
      <c r="K263" t="s">
        <v>19</v>
      </c>
    </row>
    <row r="264" spans="1:11" x14ac:dyDescent="0.2">
      <c r="A264" t="s">
        <v>1835</v>
      </c>
      <c r="B264" t="s">
        <v>1836</v>
      </c>
      <c r="C264" t="s">
        <v>1837</v>
      </c>
      <c r="D264" t="str">
        <f>"5792"</f>
        <v>5792</v>
      </c>
      <c r="E264" t="s">
        <v>1838</v>
      </c>
      <c r="F264" t="s">
        <v>1839</v>
      </c>
      <c r="G264" t="str">
        <f>"21.03.2018"</f>
        <v>21.03.2018</v>
      </c>
      <c r="H264" t="s">
        <v>1840</v>
      </c>
      <c r="I264" t="s">
        <v>1841</v>
      </c>
      <c r="J264" t="s">
        <v>1842</v>
      </c>
      <c r="K264" t="s">
        <v>551</v>
      </c>
    </row>
    <row r="265" spans="1:11" x14ac:dyDescent="0.2">
      <c r="A265" t="s">
        <v>1843</v>
      </c>
      <c r="B265" t="s">
        <v>1844</v>
      </c>
      <c r="C265" t="s">
        <v>1845</v>
      </c>
      <c r="D265" t="str">
        <f>"2750"</f>
        <v>2750</v>
      </c>
      <c r="E265" t="s">
        <v>1039</v>
      </c>
      <c r="F265" t="s">
        <v>1846</v>
      </c>
      <c r="G265" t="str">
        <f>"22.11.2017"</f>
        <v>22.11.2017</v>
      </c>
      <c r="H265" t="s">
        <v>1847</v>
      </c>
      <c r="I265" t="s">
        <v>1848</v>
      </c>
      <c r="J265" t="s">
        <v>1849</v>
      </c>
      <c r="K265" t="s">
        <v>28</v>
      </c>
    </row>
    <row r="266" spans="1:11" x14ac:dyDescent="0.2">
      <c r="A266" t="s">
        <v>1850</v>
      </c>
      <c r="B266" t="s">
        <v>1851</v>
      </c>
      <c r="C266" t="s">
        <v>1852</v>
      </c>
      <c r="D266" t="str">
        <f>"2500"</f>
        <v>2500</v>
      </c>
      <c r="E266" t="s">
        <v>1068</v>
      </c>
      <c r="F266" t="s">
        <v>1853</v>
      </c>
      <c r="G266" t="str">
        <f>"01.05.2013"</f>
        <v>01.05.2013</v>
      </c>
      <c r="H266" t="s">
        <v>1854</v>
      </c>
      <c r="I266" t="s">
        <v>1855</v>
      </c>
      <c r="J266" t="s">
        <v>1856</v>
      </c>
      <c r="K266" t="s">
        <v>28</v>
      </c>
    </row>
    <row r="267" spans="1:11" x14ac:dyDescent="0.2">
      <c r="A267" t="s">
        <v>1857</v>
      </c>
      <c r="B267" t="s">
        <v>1858</v>
      </c>
      <c r="C267" t="s">
        <v>1859</v>
      </c>
      <c r="D267" t="str">
        <f>"5000"</f>
        <v>5000</v>
      </c>
      <c r="E267" t="s">
        <v>477</v>
      </c>
      <c r="F267" t="s">
        <v>1860</v>
      </c>
      <c r="G267" t="str">
        <f>"01.01.2003"</f>
        <v>01.01.2003</v>
      </c>
      <c r="H267" t="s">
        <v>1861</v>
      </c>
      <c r="I267" t="s">
        <v>1862</v>
      </c>
      <c r="J267" t="s">
        <v>1863</v>
      </c>
      <c r="K267" t="s">
        <v>28</v>
      </c>
    </row>
    <row r="268" spans="1:11" x14ac:dyDescent="0.2">
      <c r="A268" t="s">
        <v>1864</v>
      </c>
      <c r="B268" t="s">
        <v>1865</v>
      </c>
      <c r="C268" t="s">
        <v>1866</v>
      </c>
      <c r="D268" t="str">
        <f>"3670"</f>
        <v>3670</v>
      </c>
      <c r="E268" t="s">
        <v>1867</v>
      </c>
      <c r="F268" t="s">
        <v>1868</v>
      </c>
      <c r="G268" t="str">
        <f>"01.11.2017"</f>
        <v>01.11.2017</v>
      </c>
      <c r="H268" t="s">
        <v>1869</v>
      </c>
      <c r="I268" t="s">
        <v>1870</v>
      </c>
      <c r="J268" t="s">
        <v>1871</v>
      </c>
      <c r="K268" t="s">
        <v>19</v>
      </c>
    </row>
    <row r="269" spans="1:11" x14ac:dyDescent="0.2">
      <c r="A269" t="s">
        <v>1872</v>
      </c>
      <c r="B269" t="s">
        <v>1873</v>
      </c>
      <c r="C269" t="s">
        <v>1874</v>
      </c>
      <c r="D269" t="str">
        <f>"8210"</f>
        <v>8210</v>
      </c>
      <c r="E269" t="s">
        <v>1875</v>
      </c>
      <c r="F269" t="s">
        <v>1876</v>
      </c>
      <c r="G269" t="str">
        <f>"15.11.2020"</f>
        <v>15.11.2020</v>
      </c>
      <c r="H269" t="s">
        <v>1877</v>
      </c>
      <c r="I269" t="s">
        <v>1878</v>
      </c>
      <c r="J269" t="s">
        <v>1879</v>
      </c>
      <c r="K269" t="s">
        <v>28</v>
      </c>
    </row>
  </sheetData>
  <phoneticPr fontId="3" type="noConversion"/>
  <pageMargins left="0.7" right="0.7" top="0.75" bottom="0.75" header="0.3" footer="0.3"/>
  <pageSetup paperSize="9" orientation="portrait" horizontalDpi="0" verticalDpi="0"/>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FI SAAS 250</vt:lpstr>
      <vt:lpstr>SE SAAS 250</vt:lpstr>
      <vt:lpstr>NO SAAS 250</vt:lpstr>
      <vt:lpstr>DK SAAS 250</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2021-09-23T07:23:26Z</dcterms:created>
  <dcterms:modified xsi:type="dcterms:W3CDTF">2021-09-23T08:56:23Z</dcterms:modified>
</cp:coreProperties>
</file>